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DieseArbeitsmappe" defaultThemeVersion="124226"/>
  <mc:AlternateContent xmlns:mc="http://schemas.openxmlformats.org/markup-compatibility/2006">
    <mc:Choice Requires="x15">
      <x15ac:absPath xmlns:x15ac="http://schemas.microsoft.com/office/spreadsheetml/2010/11/ac" url="Z:\09-HOCHSCHULBILDUNG (Verknüpfung)\20-KA1-Mobilität\KA 131\02 Call 2022\07 Berichte\Zwischenberichte\ZB1\Formular\"/>
    </mc:Choice>
  </mc:AlternateContent>
  <xr:revisionPtr revIDLastSave="0" documentId="13_ncr:1_{FA987E1E-59A5-4C31-A4A6-AD32900AF86F}" xr6:coauthVersionLast="47" xr6:coauthVersionMax="47" xr10:uidLastSave="{00000000-0000-0000-0000-000000000000}"/>
  <workbookProtection workbookAlgorithmName="SHA-512" workbookHashValue="hIwRePRRfjEo8u8wKLRY9iIR1ufy6z6iG83kG2UHa3sp1U6MitCmovOdoFx+vF+p7501BI+2MK6ylShXXyJknA==" workbookSaltValue="yIT2d2qthnTLWPgyK0S82Q==" workbookSpinCount="100000" lockStructure="1"/>
  <bookViews>
    <workbookView xWindow="28680" yWindow="-375" windowWidth="29040" windowHeight="15840" tabRatio="713" xr2:uid="{D6960FBA-F0E8-4AE3-96A0-AA257F75B130}"/>
  </bookViews>
  <sheets>
    <sheet name="Erklärung" sheetId="12" r:id="rId1"/>
    <sheet name="Dateneingabe Mobilitäten" sheetId="7" r:id="rId2"/>
    <sheet name="Dateneingabe zusätzliche BIPs" sheetId="15" r:id="rId3"/>
    <sheet name="Ausdruck 1" sheetId="1" r:id="rId4"/>
    <sheet name="Ausdruck 2" sheetId="14" r:id="rId5"/>
    <sheet name="Ausdruck 3" sheetId="16" r:id="rId6"/>
    <sheet name="OS" sheetId="8" state="hidden" r:id="rId7"/>
    <sheet name="Daten 2022" sheetId="6" state="hidden" r:id="rId8"/>
    <sheet name="Steuerung" sheetId="9" state="hidden" r:id="rId9"/>
    <sheet name="Zusammenfassung" sheetId="13" state="hidden" r:id="rId10"/>
  </sheets>
  <externalReferences>
    <externalReference r:id="rId11"/>
  </externalReferences>
  <definedNames>
    <definedName name="_xlnm._FilterDatabase" localSheetId="7" hidden="1">'Daten 2022'!$A:$BL</definedName>
    <definedName name="_xlnm.Print_Area" localSheetId="3">'Ausdruck 1'!$B$2:$M$77</definedName>
    <definedName name="_xlnm.Print_Area" localSheetId="4">'Ausdruck 2'!$B$1:$AD$91</definedName>
    <definedName name="_xlnm.Print_Area" localSheetId="5">'Ausdruck 3'!$B$1:$L$80</definedName>
    <definedName name="_xlnm.Print_Area" localSheetId="1">'Dateneingabe Mobilitäten'!$C$1:$AC$79</definedName>
    <definedName name="E_Code" localSheetId="4">Daten[Erasmus Code]</definedName>
    <definedName name="E_Code" localSheetId="5">'[1]Daten 2021'!$A$2:$A$78</definedName>
    <definedName name="E_Code">Daten[Erasmus Code]</definedName>
    <definedName name="n_BIP" localSheetId="4">t_BIP[BIP]</definedName>
    <definedName name="n_BIP" localSheetId="5">#REF!</definedName>
    <definedName name="n_BIP">t_BIP[BIP]</definedName>
    <definedName name="n_OS" localSheetId="4">t_OS[OS]</definedName>
    <definedName name="n_OS" localSheetId="5">#REF!</definedName>
    <definedName name="n_OS">t_OS[OS]</definedName>
    <definedName name="n_SMS" localSheetId="4">t_SMS[SMS]</definedName>
    <definedName name="n_SMS" localSheetId="5">#REF!</definedName>
    <definedName name="n_SMS">t_SMS[SMS]</definedName>
    <definedName name="n_SMT" localSheetId="4">t_SMT[SMT]</definedName>
    <definedName name="n_SMT" localSheetId="5">#REF!</definedName>
    <definedName name="n_SMT">t_SMT[SMT]</definedName>
    <definedName name="n_STA" localSheetId="4">t_STA[STA]</definedName>
    <definedName name="n_STA" localSheetId="5">#REF!</definedName>
    <definedName name="n_STA">t_STA[STA]</definedName>
    <definedName name="n_STT" localSheetId="4">t_STT[STT]</definedName>
    <definedName name="n_STT" localSheetId="5">#REF!</definedName>
    <definedName name="n_STT">t_STT[STT]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6" l="1"/>
  <c r="I9" i="7" l="1"/>
  <c r="J6" i="12" l="1"/>
  <c r="I87" i="7"/>
  <c r="B2" i="16" l="1"/>
  <c r="AI80" i="6"/>
  <c r="X47" i="7" l="1"/>
  <c r="X35" i="7"/>
  <c r="G40" i="14"/>
  <c r="G41" i="14"/>
  <c r="G50" i="14"/>
  <c r="F50" i="14"/>
  <c r="C91" i="14"/>
  <c r="JM2" i="13"/>
  <c r="JJ2" i="13"/>
  <c r="JG2" i="13"/>
  <c r="JD2" i="13"/>
  <c r="JA2" i="13"/>
  <c r="IX2" i="13"/>
  <c r="IU2" i="13"/>
  <c r="IR2" i="13"/>
  <c r="IO2" i="13"/>
  <c r="IL2" i="13"/>
  <c r="II2" i="13"/>
  <c r="IF2" i="13"/>
  <c r="IC2" i="13"/>
  <c r="HZ2" i="13"/>
  <c r="HW2" i="13"/>
  <c r="HT2" i="13"/>
  <c r="HQ2" i="13"/>
  <c r="HN2" i="13"/>
  <c r="HK2" i="13"/>
  <c r="D27" i="15"/>
  <c r="D29" i="15"/>
  <c r="GM2" i="13" s="1"/>
  <c r="FS2" i="13"/>
  <c r="FR2" i="13"/>
  <c r="FQ2" i="13"/>
  <c r="FP2" i="13"/>
  <c r="FO2" i="13"/>
  <c r="FN2" i="13"/>
  <c r="FE2" i="13"/>
  <c r="FD2" i="13"/>
  <c r="ES2" i="13"/>
  <c r="ER2" i="13"/>
  <c r="EQ2" i="13"/>
  <c r="EP2" i="13"/>
  <c r="DS2" i="13"/>
  <c r="DU2" i="13"/>
  <c r="DT2" i="13"/>
  <c r="EG2" i="13"/>
  <c r="EF2" i="13"/>
  <c r="EE2" i="13"/>
  <c r="ED2" i="13"/>
  <c r="DR2" i="13"/>
  <c r="DI2" i="13"/>
  <c r="DH2" i="13"/>
  <c r="B5" i="14"/>
  <c r="B3" i="1"/>
  <c r="B5" i="12"/>
  <c r="A47" i="15"/>
  <c r="B77" i="1"/>
  <c r="B80" i="16"/>
  <c r="I33" i="16"/>
  <c r="N41" i="16"/>
  <c r="N40" i="16"/>
  <c r="N39" i="16"/>
  <c r="N37" i="16"/>
  <c r="N38" i="16" l="1"/>
  <c r="N42" i="16" s="1"/>
  <c r="N33" i="16" l="1"/>
  <c r="L41" i="16"/>
  <c r="L40" i="16"/>
  <c r="L39" i="16"/>
  <c r="L38" i="16"/>
  <c r="L37" i="16"/>
  <c r="L35" i="16"/>
  <c r="V54" i="7"/>
  <c r="DQ2" i="13" s="1"/>
  <c r="V58" i="7"/>
  <c r="EC2" i="13" s="1"/>
  <c r="V62" i="7"/>
  <c r="EO2" i="13" s="1"/>
  <c r="V66" i="7"/>
  <c r="FA2" i="13" s="1"/>
  <c r="V70" i="7"/>
  <c r="FM2" i="13" s="1"/>
  <c r="V74" i="7"/>
  <c r="FY2" i="13" s="1"/>
  <c r="T77" i="14"/>
  <c r="T78" i="14" s="1"/>
  <c r="U77" i="14"/>
  <c r="U78" i="14" s="1"/>
  <c r="T73" i="14"/>
  <c r="T74" i="14" s="1"/>
  <c r="U73" i="14"/>
  <c r="U74" i="14" s="1"/>
  <c r="T69" i="14"/>
  <c r="T70" i="14" s="1"/>
  <c r="U69" i="14"/>
  <c r="U70" i="14" s="1"/>
  <c r="T65" i="14"/>
  <c r="T66" i="14" s="1"/>
  <c r="U65" i="14"/>
  <c r="U66" i="14" s="1"/>
  <c r="T61" i="14"/>
  <c r="T62" i="14" s="1"/>
  <c r="U61" i="14"/>
  <c r="U62" i="14" s="1"/>
  <c r="T57" i="14"/>
  <c r="T58" i="14" s="1"/>
  <c r="U57" i="14"/>
  <c r="U58" i="14" s="1"/>
  <c r="T46" i="14"/>
  <c r="T48" i="14" s="1"/>
  <c r="P15" i="7"/>
  <c r="T30" i="7"/>
  <c r="S36" i="14" s="1"/>
  <c r="U32" i="14"/>
  <c r="U33" i="14" s="1"/>
  <c r="T32" i="14"/>
  <c r="T33" i="14" s="1"/>
  <c r="U27" i="14"/>
  <c r="U28" i="14" s="1"/>
  <c r="T27" i="14"/>
  <c r="T28" i="14" s="1"/>
  <c r="U17" i="14"/>
  <c r="U18" i="14" s="1"/>
  <c r="T17" i="14"/>
  <c r="T18" i="14" s="1"/>
  <c r="T12" i="14"/>
  <c r="T13" i="14" s="1"/>
  <c r="U12" i="14"/>
  <c r="U13" i="14" s="1"/>
  <c r="AC6" i="14"/>
  <c r="G78" i="14"/>
  <c r="F78" i="14"/>
  <c r="S77" i="14"/>
  <c r="Q77" i="14"/>
  <c r="O77" i="14"/>
  <c r="O78" i="14" s="1"/>
  <c r="M77" i="14"/>
  <c r="G76" i="14"/>
  <c r="F76" i="14"/>
  <c r="X7" i="7"/>
  <c r="X12" i="7"/>
  <c r="X22" i="7"/>
  <c r="X27" i="7"/>
  <c r="I45" i="7"/>
  <c r="H50" i="14" s="1"/>
  <c r="B28" i="8"/>
  <c r="B27" i="8"/>
  <c r="H78" i="7"/>
  <c r="G78" i="7"/>
  <c r="V77" i="7"/>
  <c r="U77" i="7"/>
  <c r="T77" i="7"/>
  <c r="R77" i="7"/>
  <c r="P77" i="7"/>
  <c r="N77" i="7"/>
  <c r="S47" i="7"/>
  <c r="T51" i="14" s="1"/>
  <c r="Q47" i="7"/>
  <c r="R51" i="14" s="1"/>
  <c r="O47" i="7"/>
  <c r="P51" i="14" s="1"/>
  <c r="M47" i="7"/>
  <c r="N51" i="14" s="1"/>
  <c r="F35" i="7"/>
  <c r="F34" i="7"/>
  <c r="V7" i="7"/>
  <c r="V12" i="7"/>
  <c r="AN2" i="13" s="1"/>
  <c r="V22" i="7"/>
  <c r="BH2" i="13" s="1"/>
  <c r="V27" i="7"/>
  <c r="CB2" i="13" s="1"/>
  <c r="H76" i="7"/>
  <c r="H77" i="7"/>
  <c r="G77" i="7"/>
  <c r="G76" i="7"/>
  <c r="F41" i="7"/>
  <c r="F86" i="7" s="1"/>
  <c r="F40" i="7"/>
  <c r="F46" i="7"/>
  <c r="F45" i="7"/>
  <c r="F74" i="7"/>
  <c r="F28" i="16" s="1"/>
  <c r="F70" i="7"/>
  <c r="F66" i="7"/>
  <c r="F62" i="7"/>
  <c r="F58" i="7"/>
  <c r="F72" i="7"/>
  <c r="F68" i="7"/>
  <c r="F69" i="7" s="1"/>
  <c r="F64" i="7"/>
  <c r="F65" i="7" s="1"/>
  <c r="F60" i="7"/>
  <c r="F61" i="7" s="1"/>
  <c r="F56" i="7"/>
  <c r="F57" i="7" s="1"/>
  <c r="I74" i="7"/>
  <c r="I73" i="7"/>
  <c r="I72" i="7"/>
  <c r="J32" i="1" s="1"/>
  <c r="I70" i="7"/>
  <c r="I69" i="7"/>
  <c r="I68" i="7"/>
  <c r="I66" i="7"/>
  <c r="I65" i="7"/>
  <c r="I64" i="7"/>
  <c r="I62" i="7"/>
  <c r="I61" i="7"/>
  <c r="I60" i="7"/>
  <c r="I58" i="7"/>
  <c r="I57" i="7"/>
  <c r="I56" i="7"/>
  <c r="I53" i="7"/>
  <c r="F73" i="7" l="1"/>
  <c r="E28" i="16"/>
  <c r="K28" i="16"/>
  <c r="I88" i="7"/>
  <c r="X41" i="14"/>
  <c r="H85" i="14" s="1"/>
  <c r="F87" i="7"/>
  <c r="U21" i="14"/>
  <c r="T21" i="14"/>
  <c r="J28" i="16"/>
  <c r="S78" i="14"/>
  <c r="Q78" i="14"/>
  <c r="V15" i="7"/>
  <c r="T2" i="13"/>
  <c r="L32" i="1"/>
  <c r="DE2" i="13"/>
  <c r="W51" i="14"/>
  <c r="Y52" i="14" s="1"/>
  <c r="O37" i="16"/>
  <c r="O41" i="16"/>
  <c r="O40" i="16"/>
  <c r="O39" i="16"/>
  <c r="O38" i="16"/>
  <c r="J72" i="7"/>
  <c r="X76" i="14"/>
  <c r="Y47" i="7"/>
  <c r="E32" i="1"/>
  <c r="K32" i="1" s="1"/>
  <c r="J68" i="7"/>
  <c r="F32" i="1"/>
  <c r="J64" i="7"/>
  <c r="X78" i="14"/>
  <c r="J60" i="7"/>
  <c r="J56" i="7"/>
  <c r="W77" i="14"/>
  <c r="H78" i="14"/>
  <c r="H76" i="14"/>
  <c r="M78" i="14"/>
  <c r="M2" i="1"/>
  <c r="V78" i="7"/>
  <c r="V30" i="7"/>
  <c r="U36" i="14" s="1"/>
  <c r="I77" i="7"/>
  <c r="I78" i="7"/>
  <c r="F78" i="16"/>
  <c r="B78" i="16"/>
  <c r="G76" i="16"/>
  <c r="F76" i="16"/>
  <c r="M32" i="1" l="1"/>
  <c r="J78" i="14"/>
  <c r="K77" i="14" s="1"/>
  <c r="W78" i="14"/>
  <c r="Z78" i="14"/>
  <c r="Y78" i="14"/>
  <c r="U78" i="7"/>
  <c r="T78" i="7"/>
  <c r="R78" i="7"/>
  <c r="P78" i="7"/>
  <c r="N78" i="7"/>
  <c r="X77" i="7"/>
  <c r="I76" i="7"/>
  <c r="U74" i="7"/>
  <c r="FX2" i="13" s="1"/>
  <c r="T74" i="7"/>
  <c r="FW2" i="13" s="1"/>
  <c r="R74" i="7"/>
  <c r="FV2" i="13" s="1"/>
  <c r="P74" i="7"/>
  <c r="FU2" i="13" s="1"/>
  <c r="N74" i="7"/>
  <c r="X73" i="7"/>
  <c r="Y74" i="7" l="1"/>
  <c r="Z74" i="7" s="1"/>
  <c r="FT2" i="13"/>
  <c r="AA78" i="14"/>
  <c r="K74" i="7"/>
  <c r="L73" i="7" s="1"/>
  <c r="AB72" i="7" l="1"/>
  <c r="AA72" i="7"/>
  <c r="L27" i="7"/>
  <c r="L22" i="7"/>
  <c r="U27" i="7"/>
  <c r="BZ2" i="13" s="1"/>
  <c r="U22" i="7"/>
  <c r="BF2" i="13" s="1"/>
  <c r="U70" i="7"/>
  <c r="FL2" i="13" s="1"/>
  <c r="U66" i="7"/>
  <c r="EZ2" i="13" s="1"/>
  <c r="U62" i="7"/>
  <c r="EN2" i="13" s="1"/>
  <c r="U58" i="7"/>
  <c r="EB2" i="13" s="1"/>
  <c r="U54" i="7"/>
  <c r="DP2" i="13" s="1"/>
  <c r="X36" i="7"/>
  <c r="W41" i="14" s="1"/>
  <c r="W35" i="7"/>
  <c r="W36" i="7" s="1"/>
  <c r="S35" i="7"/>
  <c r="S36" i="7" s="1"/>
  <c r="Q35" i="7"/>
  <c r="Q36" i="7" s="1"/>
  <c r="O35" i="7"/>
  <c r="O36" i="7" s="1"/>
  <c r="M35" i="7"/>
  <c r="M36" i="7" s="1"/>
  <c r="U42" i="7"/>
  <c r="CW2" i="13" s="1"/>
  <c r="AB76" i="14" l="1"/>
  <c r="AC76" i="14"/>
  <c r="CI2" i="13"/>
  <c r="N41" i="14"/>
  <c r="CK2" i="13"/>
  <c r="R41" i="14"/>
  <c r="CN2" i="13"/>
  <c r="CJ2" i="13"/>
  <c r="P41" i="14"/>
  <c r="CH2" i="13"/>
  <c r="L41" i="14"/>
  <c r="CL2" i="13"/>
  <c r="V41" i="14"/>
  <c r="U30" i="7"/>
  <c r="T36" i="14" s="1"/>
  <c r="U12" i="7"/>
  <c r="AL2" i="13" s="1"/>
  <c r="U7" i="7"/>
  <c r="R2" i="13" s="1"/>
  <c r="S80" i="6"/>
  <c r="P80" i="6"/>
  <c r="M80" i="6"/>
  <c r="J80" i="6"/>
  <c r="Y41" i="14" l="1"/>
  <c r="X85" i="14" s="1"/>
  <c r="K85" i="14" s="1"/>
  <c r="Z41" i="14"/>
  <c r="Y85" i="14" s="1"/>
  <c r="U15" i="7"/>
  <c r="E2" i="15"/>
  <c r="HH2" i="13"/>
  <c r="GX2" i="13"/>
  <c r="GW2" i="13"/>
  <c r="GV2" i="13"/>
  <c r="HF2" i="13"/>
  <c r="HE2" i="13"/>
  <c r="HD2" i="13"/>
  <c r="B27" i="15"/>
  <c r="C7" i="15"/>
  <c r="C8" i="15"/>
  <c r="C9" i="15"/>
  <c r="C10" i="15"/>
  <c r="C11" i="15"/>
  <c r="C12" i="15"/>
  <c r="C13" i="15"/>
  <c r="C14" i="15"/>
  <c r="C15" i="15"/>
  <c r="C16" i="15"/>
  <c r="C17" i="15"/>
  <c r="C18" i="15"/>
  <c r="C19" i="15"/>
  <c r="C20" i="15"/>
  <c r="C21" i="15"/>
  <c r="C22" i="15"/>
  <c r="C23" i="15"/>
  <c r="C24" i="15"/>
  <c r="C25" i="15"/>
  <c r="C26" i="15"/>
  <c r="GT2" i="13"/>
  <c r="GS2" i="13"/>
  <c r="GR2" i="13"/>
  <c r="GQ2" i="13"/>
  <c r="GP2" i="13"/>
  <c r="K20" i="16"/>
  <c r="F6" i="16"/>
  <c r="F5" i="16"/>
  <c r="F4" i="16"/>
  <c r="L3" i="16"/>
  <c r="L49" i="16"/>
  <c r="GY2" i="13" s="1"/>
  <c r="K42" i="16"/>
  <c r="C27" i="15" l="1"/>
  <c r="L42" i="16"/>
  <c r="L51" i="16" l="1"/>
  <c r="GU2" i="13"/>
  <c r="B7" i="15"/>
  <c r="HG2" i="13" s="1"/>
  <c r="B8" i="15"/>
  <c r="HJ2" i="13" s="1"/>
  <c r="B9" i="15"/>
  <c r="HM2" i="13" s="1"/>
  <c r="B10" i="15"/>
  <c r="HP2" i="13" s="1"/>
  <c r="B11" i="15"/>
  <c r="HS2" i="13" s="1"/>
  <c r="B12" i="15"/>
  <c r="HV2" i="13" s="1"/>
  <c r="B13" i="15"/>
  <c r="HY2" i="13" s="1"/>
  <c r="B14" i="15"/>
  <c r="IB2" i="13" s="1"/>
  <c r="B15" i="15"/>
  <c r="IE2" i="13" s="1"/>
  <c r="B16" i="15"/>
  <c r="IH2" i="13" s="1"/>
  <c r="B17" i="15"/>
  <c r="IK2" i="13" s="1"/>
  <c r="B18" i="15"/>
  <c r="IN2" i="13" s="1"/>
  <c r="B19" i="15"/>
  <c r="IQ2" i="13" s="1"/>
  <c r="B20" i="15"/>
  <c r="IT2" i="13" s="1"/>
  <c r="B21" i="15"/>
  <c r="IW2" i="13" s="1"/>
  <c r="B22" i="15"/>
  <c r="IZ2" i="13" s="1"/>
  <c r="B23" i="15"/>
  <c r="JC2" i="13" s="1"/>
  <c r="B24" i="15"/>
  <c r="JF2" i="13" s="1"/>
  <c r="B25" i="15"/>
  <c r="JI2" i="13" s="1"/>
  <c r="B26" i="15"/>
  <c r="JL2" i="13" s="1"/>
  <c r="E9" i="15"/>
  <c r="HO2" i="13" s="1"/>
  <c r="E10" i="15"/>
  <c r="HR2" i="13" s="1"/>
  <c r="E11" i="15"/>
  <c r="HU2" i="13" s="1"/>
  <c r="E12" i="15"/>
  <c r="HX2" i="13" s="1"/>
  <c r="E13" i="15"/>
  <c r="IA2" i="13" s="1"/>
  <c r="E14" i="15"/>
  <c r="ID2" i="13" s="1"/>
  <c r="E15" i="15"/>
  <c r="IG2" i="13" s="1"/>
  <c r="E16" i="15"/>
  <c r="IJ2" i="13" s="1"/>
  <c r="E17" i="15"/>
  <c r="IM2" i="13" s="1"/>
  <c r="E18" i="15"/>
  <c r="IP2" i="13" s="1"/>
  <c r="E19" i="15"/>
  <c r="IS2" i="13" s="1"/>
  <c r="E20" i="15"/>
  <c r="IV2" i="13" s="1"/>
  <c r="E21" i="15"/>
  <c r="IY2" i="13" s="1"/>
  <c r="E22" i="15"/>
  <c r="JB2" i="13" s="1"/>
  <c r="E23" i="15"/>
  <c r="JE2" i="13" s="1"/>
  <c r="E24" i="15"/>
  <c r="JH2" i="13" s="1"/>
  <c r="E8" i="15"/>
  <c r="HL2" i="13" s="1"/>
  <c r="E25" i="15"/>
  <c r="JK2" i="13" s="1"/>
  <c r="E26" i="15"/>
  <c r="JN2" i="13" s="1"/>
  <c r="E7" i="15"/>
  <c r="HI2" i="13" s="1"/>
  <c r="D3" i="15"/>
  <c r="N49" i="16" l="1"/>
  <c r="GZ2" i="13"/>
  <c r="E27" i="15"/>
  <c r="J49" i="1" s="1"/>
  <c r="GN2" i="13" l="1"/>
  <c r="J51" i="1"/>
  <c r="F54" i="7"/>
  <c r="F52" i="7"/>
  <c r="Y36" i="7"/>
  <c r="F27" i="7"/>
  <c r="F24" i="7"/>
  <c r="F22" i="7"/>
  <c r="F19" i="7"/>
  <c r="F12" i="7"/>
  <c r="F9" i="7"/>
  <c r="F7" i="7"/>
  <c r="F4" i="7"/>
  <c r="C8" i="14"/>
  <c r="L24" i="1"/>
  <c r="S73" i="14"/>
  <c r="Q73" i="14"/>
  <c r="Q74" i="14" s="1"/>
  <c r="O73" i="14"/>
  <c r="O74" i="14" s="1"/>
  <c r="M73" i="14"/>
  <c r="S69" i="14"/>
  <c r="S70" i="14" s="1"/>
  <c r="Q69" i="14"/>
  <c r="Q70" i="14" s="1"/>
  <c r="O69" i="14"/>
  <c r="O70" i="14" s="1"/>
  <c r="M69" i="14"/>
  <c r="S65" i="14"/>
  <c r="S66" i="14" s="1"/>
  <c r="Q65" i="14"/>
  <c r="Q66" i="14" s="1"/>
  <c r="O65" i="14"/>
  <c r="O66" i="14" s="1"/>
  <c r="M65" i="14"/>
  <c r="S61" i="14"/>
  <c r="S62" i="14" s="1"/>
  <c r="Q61" i="14"/>
  <c r="O61" i="14"/>
  <c r="O62" i="14" s="1"/>
  <c r="M61" i="14"/>
  <c r="S57" i="14"/>
  <c r="Q57" i="14"/>
  <c r="O57" i="14"/>
  <c r="M57" i="14"/>
  <c r="M46" i="14"/>
  <c r="O46" i="14"/>
  <c r="O48" i="14" s="1"/>
  <c r="S46" i="14"/>
  <c r="S48" i="14" s="1"/>
  <c r="Q46" i="14"/>
  <c r="V28" i="14" s="1"/>
  <c r="Q32" i="14"/>
  <c r="Q33" i="14" s="1"/>
  <c r="O32" i="14"/>
  <c r="R18" i="14" s="1"/>
  <c r="M32" i="14"/>
  <c r="R13" i="14" s="1"/>
  <c r="S27" i="14"/>
  <c r="S28" i="14" s="1"/>
  <c r="O27" i="14"/>
  <c r="M27" i="14"/>
  <c r="P13" i="14" s="1"/>
  <c r="S17" i="14"/>
  <c r="S18" i="14" s="1"/>
  <c r="Q17" i="14"/>
  <c r="N28" i="14" s="1"/>
  <c r="M17" i="14"/>
  <c r="M18" i="14" s="1"/>
  <c r="S12" i="14"/>
  <c r="L33" i="14" s="1"/>
  <c r="Q12" i="14"/>
  <c r="Q13" i="14" s="1"/>
  <c r="O12" i="14"/>
  <c r="O13" i="14" s="1"/>
  <c r="G74" i="14"/>
  <c r="F74" i="14"/>
  <c r="G72" i="14"/>
  <c r="F72" i="14"/>
  <c r="G70" i="14"/>
  <c r="F70" i="14"/>
  <c r="G68" i="14"/>
  <c r="F68" i="14"/>
  <c r="G66" i="14"/>
  <c r="F66" i="14"/>
  <c r="G64" i="14"/>
  <c r="F64" i="14"/>
  <c r="G62" i="14"/>
  <c r="F62" i="14"/>
  <c r="G60" i="14"/>
  <c r="F60" i="14"/>
  <c r="G58" i="14"/>
  <c r="F58" i="14"/>
  <c r="G56" i="14"/>
  <c r="F56" i="14"/>
  <c r="H52" i="14"/>
  <c r="H47" i="14"/>
  <c r="F41" i="14"/>
  <c r="F40" i="14"/>
  <c r="H40" i="14" s="1"/>
  <c r="G33" i="14"/>
  <c r="F33" i="14"/>
  <c r="G32" i="14"/>
  <c r="F32" i="14"/>
  <c r="G31" i="14"/>
  <c r="F31" i="14"/>
  <c r="G30" i="14"/>
  <c r="F30" i="14"/>
  <c r="G28" i="14"/>
  <c r="F28" i="14"/>
  <c r="G27" i="14"/>
  <c r="F27" i="14"/>
  <c r="G26" i="14"/>
  <c r="F26" i="14"/>
  <c r="G25" i="14"/>
  <c r="F25" i="14"/>
  <c r="G18" i="14"/>
  <c r="F18" i="14"/>
  <c r="G17" i="14"/>
  <c r="F17" i="14"/>
  <c r="G16" i="14"/>
  <c r="F16" i="14"/>
  <c r="G15" i="14"/>
  <c r="F15" i="14"/>
  <c r="F11" i="14"/>
  <c r="G11" i="14"/>
  <c r="F12" i="14"/>
  <c r="G12" i="14"/>
  <c r="F13" i="14"/>
  <c r="G13" i="14"/>
  <c r="G10" i="14"/>
  <c r="F10" i="14"/>
  <c r="L41" i="7"/>
  <c r="S19" i="1"/>
  <c r="S26" i="1"/>
  <c r="S33" i="1"/>
  <c r="S34" i="1"/>
  <c r="HC2" i="13"/>
  <c r="HB2" i="13"/>
  <c r="FG2" i="13"/>
  <c r="FF2" i="13"/>
  <c r="FC2" i="13"/>
  <c r="FB2" i="13"/>
  <c r="EU2" i="13"/>
  <c r="ET2" i="13"/>
  <c r="EI2" i="13"/>
  <c r="EH2" i="13"/>
  <c r="DW2" i="13"/>
  <c r="DV2" i="13"/>
  <c r="DK2" i="13"/>
  <c r="DJ2" i="13"/>
  <c r="DG2" i="13"/>
  <c r="DF2" i="13"/>
  <c r="CV2" i="13"/>
  <c r="CR2" i="13"/>
  <c r="CG2" i="13"/>
  <c r="CF2" i="13"/>
  <c r="CE2" i="13"/>
  <c r="CD2" i="13"/>
  <c r="BY2" i="13"/>
  <c r="BX2" i="13"/>
  <c r="BQ2" i="13"/>
  <c r="BP2" i="13"/>
  <c r="BO2" i="13"/>
  <c r="BN2" i="13"/>
  <c r="BM2" i="13"/>
  <c r="BL2" i="13"/>
  <c r="BK2" i="13"/>
  <c r="BJ2" i="13"/>
  <c r="BC2" i="13"/>
  <c r="BB2" i="13"/>
  <c r="AW2" i="13"/>
  <c r="AV2" i="13"/>
  <c r="AU2" i="13"/>
  <c r="AT2" i="13"/>
  <c r="AS2" i="13"/>
  <c r="AR2" i="13"/>
  <c r="AQ2" i="13"/>
  <c r="AP2" i="13"/>
  <c r="AG2" i="13"/>
  <c r="AF2" i="13"/>
  <c r="AC2" i="13"/>
  <c r="AB2" i="13"/>
  <c r="AA2" i="13"/>
  <c r="Z2" i="13"/>
  <c r="Y2" i="13"/>
  <c r="X2" i="13"/>
  <c r="W2" i="13"/>
  <c r="V2" i="13"/>
  <c r="K2" i="13"/>
  <c r="J2" i="13"/>
  <c r="I2" i="13"/>
  <c r="H2" i="13"/>
  <c r="G2" i="13"/>
  <c r="F2" i="13"/>
  <c r="E2" i="13"/>
  <c r="D2" i="13"/>
  <c r="C2" i="13"/>
  <c r="B2" i="13"/>
  <c r="A2" i="13"/>
  <c r="F88" i="7" l="1"/>
  <c r="K54" i="7"/>
  <c r="W13" i="14"/>
  <c r="S58" i="14"/>
  <c r="W33" i="14"/>
  <c r="O58" i="14"/>
  <c r="W18" i="14"/>
  <c r="Q58" i="14"/>
  <c r="W28" i="14"/>
  <c r="V13" i="14"/>
  <c r="V46" i="14"/>
  <c r="G87" i="14"/>
  <c r="L87" i="14" s="1"/>
  <c r="H41" i="14"/>
  <c r="G85" i="14" s="1"/>
  <c r="L85" i="14" s="1"/>
  <c r="M85" i="14" s="1"/>
  <c r="F76" i="7"/>
  <c r="J76" i="7" s="1"/>
  <c r="F78" i="7"/>
  <c r="Y78" i="7" s="1"/>
  <c r="Z78" i="7" s="1"/>
  <c r="AB76" i="7" s="1"/>
  <c r="M62" i="14"/>
  <c r="W61" i="14"/>
  <c r="W69" i="14"/>
  <c r="M58" i="14"/>
  <c r="W57" i="14"/>
  <c r="M66" i="14"/>
  <c r="W65" i="14"/>
  <c r="M74" i="14"/>
  <c r="W73" i="14"/>
  <c r="K46" i="14"/>
  <c r="K51" i="14"/>
  <c r="F53" i="7"/>
  <c r="X60" i="14"/>
  <c r="E24" i="16"/>
  <c r="X13" i="14"/>
  <c r="F12" i="16"/>
  <c r="F17" i="16"/>
  <c r="X62" i="14"/>
  <c r="F24" i="16"/>
  <c r="X15" i="14"/>
  <c r="E13" i="16"/>
  <c r="X45" i="14"/>
  <c r="E19" i="16"/>
  <c r="X64" i="14"/>
  <c r="E25" i="16"/>
  <c r="E17" i="16"/>
  <c r="X18" i="14"/>
  <c r="F13" i="16"/>
  <c r="X66" i="14"/>
  <c r="F25" i="16"/>
  <c r="X25" i="14"/>
  <c r="E14" i="16"/>
  <c r="X50" i="14"/>
  <c r="E20" i="16"/>
  <c r="X68" i="14"/>
  <c r="E26" i="16"/>
  <c r="X10" i="14"/>
  <c r="E12" i="16"/>
  <c r="X46" i="14"/>
  <c r="F19" i="16"/>
  <c r="X28" i="14"/>
  <c r="F14" i="16"/>
  <c r="X51" i="14"/>
  <c r="F20" i="16"/>
  <c r="X70" i="14"/>
  <c r="F26" i="16"/>
  <c r="X30" i="14"/>
  <c r="E15" i="16"/>
  <c r="X56" i="14"/>
  <c r="E23" i="16"/>
  <c r="X72" i="14"/>
  <c r="E27" i="16"/>
  <c r="X33" i="14"/>
  <c r="F15" i="16"/>
  <c r="X58" i="14"/>
  <c r="F23" i="16"/>
  <c r="X74" i="14"/>
  <c r="F27" i="16"/>
  <c r="F35" i="14"/>
  <c r="G35" i="14"/>
  <c r="G36" i="14"/>
  <c r="V33" i="14"/>
  <c r="N13" i="14"/>
  <c r="F45" i="14"/>
  <c r="H13" i="14"/>
  <c r="F21" i="14"/>
  <c r="Q18" i="14"/>
  <c r="M28" i="14"/>
  <c r="H26" i="14"/>
  <c r="H31" i="14"/>
  <c r="G20" i="14"/>
  <c r="G45" i="14"/>
  <c r="Q48" i="14"/>
  <c r="H25" i="14"/>
  <c r="M33" i="14"/>
  <c r="L28" i="14"/>
  <c r="H62" i="14"/>
  <c r="H12" i="14"/>
  <c r="O33" i="14"/>
  <c r="P33" i="14"/>
  <c r="H17" i="14"/>
  <c r="H56" i="14"/>
  <c r="H64" i="14"/>
  <c r="H72" i="14"/>
  <c r="H11" i="14"/>
  <c r="H28" i="14"/>
  <c r="H66" i="14"/>
  <c r="H74" i="14"/>
  <c r="H70" i="14"/>
  <c r="H27" i="14"/>
  <c r="H32" i="14"/>
  <c r="F36" i="14"/>
  <c r="H18" i="14"/>
  <c r="H58" i="14"/>
  <c r="H15" i="14"/>
  <c r="H30" i="14"/>
  <c r="M70" i="14"/>
  <c r="H16" i="14"/>
  <c r="H60" i="14"/>
  <c r="H68" i="14"/>
  <c r="R28" i="14"/>
  <c r="S74" i="14"/>
  <c r="Q62" i="14"/>
  <c r="M48" i="14"/>
  <c r="Y47" i="14" s="1"/>
  <c r="V18" i="14"/>
  <c r="O21" i="14"/>
  <c r="O28" i="14"/>
  <c r="P18" i="14"/>
  <c r="N33" i="14"/>
  <c r="S13" i="14"/>
  <c r="L18" i="14"/>
  <c r="H33" i="14"/>
  <c r="G21" i="14"/>
  <c r="H10" i="14"/>
  <c r="F20" i="14"/>
  <c r="I35" i="7"/>
  <c r="I85" i="7" s="1"/>
  <c r="X69" i="7"/>
  <c r="X65" i="7"/>
  <c r="X61" i="7"/>
  <c r="X57" i="7"/>
  <c r="X53" i="7"/>
  <c r="W41" i="7"/>
  <c r="I25" i="7"/>
  <c r="I20" i="7"/>
  <c r="I10" i="7"/>
  <c r="I5" i="7"/>
  <c r="F77" i="7" l="1"/>
  <c r="C81" i="7"/>
  <c r="Y33" i="14"/>
  <c r="Y18" i="14"/>
  <c r="Y13" i="14"/>
  <c r="Z18" i="14"/>
  <c r="AA18" i="14" s="1"/>
  <c r="Z28" i="14"/>
  <c r="Z13" i="14"/>
  <c r="Z33" i="14"/>
  <c r="AA33" i="14" s="1"/>
  <c r="Y28" i="14"/>
  <c r="Z47" i="14"/>
  <c r="Y86" i="14" s="1"/>
  <c r="H87" i="14"/>
  <c r="Z52" i="14"/>
  <c r="Y87" i="14" s="1"/>
  <c r="G84" i="14"/>
  <c r="L84" i="14" s="1"/>
  <c r="G88" i="14"/>
  <c r="L88" i="14" s="1"/>
  <c r="H88" i="14"/>
  <c r="X87" i="14"/>
  <c r="W58" i="14"/>
  <c r="Y58" i="14"/>
  <c r="Z58" i="14"/>
  <c r="Y74" i="14"/>
  <c r="W74" i="14"/>
  <c r="Y62" i="14"/>
  <c r="W62" i="14"/>
  <c r="Y70" i="14"/>
  <c r="W70" i="14"/>
  <c r="Y66" i="14"/>
  <c r="W66" i="14"/>
  <c r="F30" i="16"/>
  <c r="GO2" i="13" s="1"/>
  <c r="X86" i="14"/>
  <c r="Z66" i="14"/>
  <c r="Z62" i="14"/>
  <c r="Z74" i="14"/>
  <c r="Z70" i="14"/>
  <c r="K78" i="7"/>
  <c r="L77" i="7" s="1"/>
  <c r="L20" i="1"/>
  <c r="Z36" i="7"/>
  <c r="K17" i="16"/>
  <c r="J62" i="14"/>
  <c r="K61" i="14" s="1"/>
  <c r="AA25" i="14"/>
  <c r="J18" i="14"/>
  <c r="K17" i="14" s="1"/>
  <c r="X21" i="14"/>
  <c r="X35" i="14"/>
  <c r="H86" i="14"/>
  <c r="J66" i="14"/>
  <c r="K65" i="14" s="1"/>
  <c r="X36" i="14"/>
  <c r="X20" i="14"/>
  <c r="H84" i="14"/>
  <c r="J74" i="14"/>
  <c r="K73" i="14" s="1"/>
  <c r="J28" i="14"/>
  <c r="K27" i="14" s="1"/>
  <c r="AA15" i="14"/>
  <c r="J58" i="14"/>
  <c r="K57" i="14" s="1"/>
  <c r="AA10" i="14"/>
  <c r="J70" i="14"/>
  <c r="K69" i="14" s="1"/>
  <c r="J13" i="14"/>
  <c r="K12" i="14" s="1"/>
  <c r="S21" i="14"/>
  <c r="H45" i="14"/>
  <c r="O36" i="14"/>
  <c r="H35" i="14"/>
  <c r="H21" i="14"/>
  <c r="H20" i="14"/>
  <c r="AA30" i="14"/>
  <c r="J33" i="14"/>
  <c r="K32" i="14" s="1"/>
  <c r="H36" i="14"/>
  <c r="P19" i="1"/>
  <c r="P26" i="1"/>
  <c r="AA34" i="7" l="1"/>
  <c r="AB40" i="14" s="1"/>
  <c r="K86" i="14"/>
  <c r="K87" i="14"/>
  <c r="M87" i="14" s="1"/>
  <c r="Z21" i="14"/>
  <c r="AA21" i="14" s="1"/>
  <c r="Z36" i="14"/>
  <c r="AA36" i="14" s="1"/>
  <c r="X84" i="14"/>
  <c r="K84" i="14" s="1"/>
  <c r="M84" i="14" s="1"/>
  <c r="H89" i="14"/>
  <c r="Y84" i="14"/>
  <c r="Y88" i="14"/>
  <c r="AB34" i="7"/>
  <c r="AA41" i="14"/>
  <c r="AA66" i="14"/>
  <c r="AA74" i="14"/>
  <c r="AA58" i="14"/>
  <c r="AA62" i="14"/>
  <c r="AA70" i="14"/>
  <c r="AA20" i="14"/>
  <c r="AA35" i="14"/>
  <c r="R21" i="14"/>
  <c r="Y36" i="14"/>
  <c r="X88" i="14"/>
  <c r="K88" i="14" s="1"/>
  <c r="M88" i="14" s="1"/>
  <c r="AA13" i="14"/>
  <c r="Y21" i="14"/>
  <c r="AA28" i="14"/>
  <c r="AC40" i="14" l="1"/>
  <c r="AC85" i="14" s="1"/>
  <c r="AC50" i="14"/>
  <c r="AC87" i="14" s="1"/>
  <c r="E43" i="1"/>
  <c r="Y89" i="14"/>
  <c r="X89" i="14"/>
  <c r="K89" i="14" s="1"/>
  <c r="AA38" i="14"/>
  <c r="F43" i="1" l="1"/>
  <c r="GH2" i="13"/>
  <c r="S12" i="7"/>
  <c r="AJ2" i="13" s="1"/>
  <c r="CC2" i="13"/>
  <c r="BI2" i="13"/>
  <c r="AO2" i="13"/>
  <c r="U2" i="13"/>
  <c r="T70" i="7"/>
  <c r="FK2" i="13" s="1"/>
  <c r="R70" i="7"/>
  <c r="FJ2" i="13" s="1"/>
  <c r="P70" i="7"/>
  <c r="FI2" i="13" s="1"/>
  <c r="N70" i="7"/>
  <c r="T66" i="7"/>
  <c r="EY2" i="13" s="1"/>
  <c r="R66" i="7"/>
  <c r="EX2" i="13" s="1"/>
  <c r="P66" i="7"/>
  <c r="EW2" i="13" s="1"/>
  <c r="N66" i="7"/>
  <c r="T62" i="7"/>
  <c r="EM2" i="13" s="1"/>
  <c r="R62" i="7"/>
  <c r="EL2" i="13" s="1"/>
  <c r="P62" i="7"/>
  <c r="N62" i="7"/>
  <c r="T58" i="7"/>
  <c r="EA2" i="13" s="1"/>
  <c r="R58" i="7"/>
  <c r="DZ2" i="13" s="1"/>
  <c r="P58" i="7"/>
  <c r="N58" i="7"/>
  <c r="T54" i="7"/>
  <c r="R54" i="7"/>
  <c r="DN2" i="13" s="1"/>
  <c r="P54" i="7"/>
  <c r="DM2" i="13" s="1"/>
  <c r="N54" i="7"/>
  <c r="K27" i="16"/>
  <c r="K66" i="7"/>
  <c r="L65" i="7" s="1"/>
  <c r="I54" i="7"/>
  <c r="K23" i="16" s="1"/>
  <c r="I52" i="7"/>
  <c r="J52" i="7" s="1"/>
  <c r="F5" i="1"/>
  <c r="DD2" i="13"/>
  <c r="DC2" i="13"/>
  <c r="DB2" i="13"/>
  <c r="H30" i="7"/>
  <c r="G30" i="7"/>
  <c r="H29" i="7"/>
  <c r="G29" i="7"/>
  <c r="T42" i="7"/>
  <c r="R42" i="7"/>
  <c r="P42" i="7"/>
  <c r="CT2" i="13" s="1"/>
  <c r="N42" i="7"/>
  <c r="R27" i="7"/>
  <c r="BW2" i="13" s="1"/>
  <c r="P27" i="7"/>
  <c r="BU2" i="13" s="1"/>
  <c r="N27" i="7"/>
  <c r="BS2" i="13" s="1"/>
  <c r="T22" i="7"/>
  <c r="BE2" i="13" s="1"/>
  <c r="P22" i="7"/>
  <c r="BA2" i="13" s="1"/>
  <c r="N22" i="7"/>
  <c r="AY2" i="13" s="1"/>
  <c r="T12" i="7"/>
  <c r="AK2" i="13" s="1"/>
  <c r="R12" i="7"/>
  <c r="AI2" i="13" s="1"/>
  <c r="N12" i="7"/>
  <c r="AE2" i="13" s="1"/>
  <c r="T7" i="7"/>
  <c r="R7" i="7"/>
  <c r="O2" i="13" s="1"/>
  <c r="P7" i="7"/>
  <c r="M2" i="13" s="1"/>
  <c r="G14" i="7"/>
  <c r="H14" i="7"/>
  <c r="G15" i="7"/>
  <c r="H15" i="7"/>
  <c r="Q27" i="7"/>
  <c r="BV2" i="13" s="1"/>
  <c r="O27" i="7"/>
  <c r="BT2" i="13" s="1"/>
  <c r="M27" i="7"/>
  <c r="S22" i="7"/>
  <c r="O22" i="7"/>
  <c r="AZ2" i="13" s="1"/>
  <c r="M22" i="7"/>
  <c r="Q12" i="7"/>
  <c r="AH2" i="13" s="1"/>
  <c r="M12" i="7"/>
  <c r="W27" i="7"/>
  <c r="CA2" i="13" s="1"/>
  <c r="W22" i="7"/>
  <c r="W12" i="7"/>
  <c r="AM2" i="13" s="1"/>
  <c r="W7" i="7"/>
  <c r="S2" i="13" s="1"/>
  <c r="S7" i="7"/>
  <c r="P2" i="13" s="1"/>
  <c r="Q7" i="7"/>
  <c r="N2" i="13" s="1"/>
  <c r="O7" i="7"/>
  <c r="I34" i="7"/>
  <c r="I46" i="7" s="1"/>
  <c r="AB45" i="7" s="1"/>
  <c r="CY2" i="13"/>
  <c r="CX2" i="13"/>
  <c r="F20" i="1"/>
  <c r="E20" i="1"/>
  <c r="F24" i="1"/>
  <c r="M24" i="1" s="1"/>
  <c r="E24" i="1"/>
  <c r="AP80" i="6"/>
  <c r="AQ80" i="6"/>
  <c r="BQ80" i="6"/>
  <c r="B4" i="8"/>
  <c r="B5" i="8"/>
  <c r="B6" i="8"/>
  <c r="B7" i="8"/>
  <c r="A10" i="8"/>
  <c r="B10" i="8"/>
  <c r="A11" i="8"/>
  <c r="B11" i="8"/>
  <c r="D13" i="8"/>
  <c r="B14" i="8"/>
  <c r="I27" i="7"/>
  <c r="I26" i="7"/>
  <c r="I24" i="7"/>
  <c r="J24" i="7" s="1"/>
  <c r="I22" i="7"/>
  <c r="I21" i="7"/>
  <c r="I19" i="7"/>
  <c r="I12" i="7"/>
  <c r="I11" i="7"/>
  <c r="J9" i="7"/>
  <c r="I6" i="7"/>
  <c r="I7" i="7"/>
  <c r="I4" i="7"/>
  <c r="H40" i="7"/>
  <c r="G40" i="7"/>
  <c r="CO2" i="13" s="1"/>
  <c r="E22" i="1"/>
  <c r="E12" i="8"/>
  <c r="E31" i="1"/>
  <c r="E30" i="1"/>
  <c r="E29" i="1"/>
  <c r="E28" i="1"/>
  <c r="E27" i="1"/>
  <c r="C7" i="8"/>
  <c r="C6" i="8"/>
  <c r="C5" i="8"/>
  <c r="C4" i="8"/>
  <c r="K12" i="16" l="1"/>
  <c r="I84" i="7"/>
  <c r="Y58" i="7"/>
  <c r="Z58" i="7" s="1"/>
  <c r="Y66" i="7"/>
  <c r="Z66" i="7" s="1"/>
  <c r="J14" i="16"/>
  <c r="J19" i="7"/>
  <c r="J12" i="16"/>
  <c r="J4" i="7"/>
  <c r="H51" i="14"/>
  <c r="Y54" i="7"/>
  <c r="Z54" i="7" s="1"/>
  <c r="Y62" i="7"/>
  <c r="Z62" i="7" s="1"/>
  <c r="Y70" i="7"/>
  <c r="Z70" i="7" s="1"/>
  <c r="Y42" i="7"/>
  <c r="I43" i="7" s="1"/>
  <c r="I86" i="7" s="1"/>
  <c r="Y27" i="7"/>
  <c r="Z27" i="7" s="1"/>
  <c r="BG2" i="13"/>
  <c r="Y22" i="7"/>
  <c r="CP2" i="13"/>
  <c r="I40" i="7"/>
  <c r="J19" i="16" s="1"/>
  <c r="Y7" i="7"/>
  <c r="I48" i="7"/>
  <c r="Y12" i="7"/>
  <c r="Z12" i="7" s="1"/>
  <c r="L2" i="13"/>
  <c r="AX2" i="13"/>
  <c r="DL2" i="13"/>
  <c r="EJ2" i="13"/>
  <c r="FH2" i="13"/>
  <c r="DX2" i="13"/>
  <c r="L29" i="1"/>
  <c r="K25" i="16"/>
  <c r="J30" i="1"/>
  <c r="K30" i="1" s="1"/>
  <c r="J26" i="16"/>
  <c r="M20" i="1"/>
  <c r="J17" i="16"/>
  <c r="L30" i="1"/>
  <c r="K26" i="16"/>
  <c r="J29" i="1"/>
  <c r="J25" i="16"/>
  <c r="L17" i="1"/>
  <c r="K14" i="16"/>
  <c r="J27" i="1"/>
  <c r="K27" i="1" s="1"/>
  <c r="J23" i="16"/>
  <c r="J31" i="1"/>
  <c r="K31" i="1" s="1"/>
  <c r="J27" i="16"/>
  <c r="C20" i="8"/>
  <c r="J15" i="16"/>
  <c r="J28" i="1"/>
  <c r="J24" i="16"/>
  <c r="K27" i="7"/>
  <c r="L26" i="7" s="1"/>
  <c r="K15" i="16"/>
  <c r="L28" i="1"/>
  <c r="K24" i="16"/>
  <c r="C18" i="8"/>
  <c r="J13" i="16"/>
  <c r="L16" i="1"/>
  <c r="K13" i="16"/>
  <c r="F9" i="1"/>
  <c r="F8" i="1"/>
  <c r="F7" i="1"/>
  <c r="F6" i="1"/>
  <c r="F75" i="1"/>
  <c r="G73" i="1"/>
  <c r="F73" i="1"/>
  <c r="B75" i="1"/>
  <c r="K62" i="7"/>
  <c r="L61" i="7" s="1"/>
  <c r="CS2" i="13"/>
  <c r="C17" i="8"/>
  <c r="L15" i="1"/>
  <c r="C19" i="8"/>
  <c r="K70" i="7"/>
  <c r="L69" i="7" s="1"/>
  <c r="L31" i="1"/>
  <c r="K22" i="7"/>
  <c r="L21" i="7" s="1"/>
  <c r="K12" i="7"/>
  <c r="L11" i="7" s="1"/>
  <c r="K7" i="7"/>
  <c r="L6" i="7" s="1"/>
  <c r="K58" i="7"/>
  <c r="L57" i="7" s="1"/>
  <c r="L27" i="1"/>
  <c r="L53" i="7"/>
  <c r="F28" i="1"/>
  <c r="F18" i="1"/>
  <c r="F27" i="1"/>
  <c r="F16" i="1"/>
  <c r="F30" i="1"/>
  <c r="F17" i="1"/>
  <c r="F29" i="1"/>
  <c r="F31" i="1"/>
  <c r="EV2" i="13"/>
  <c r="Q30" i="1"/>
  <c r="Q31" i="1"/>
  <c r="DA2" i="13"/>
  <c r="Q24" i="1"/>
  <c r="EK2" i="13"/>
  <c r="Q29" i="1"/>
  <c r="DY2" i="13"/>
  <c r="Q28" i="1"/>
  <c r="DO2" i="13"/>
  <c r="Q27" i="1"/>
  <c r="CU2" i="13"/>
  <c r="Q22" i="1"/>
  <c r="BD2" i="13"/>
  <c r="Q17" i="1"/>
  <c r="AD2" i="13"/>
  <c r="Q16" i="1"/>
  <c r="I32" i="7"/>
  <c r="BR2" i="13"/>
  <c r="Q18" i="1"/>
  <c r="Q2" i="13"/>
  <c r="Q15" i="1"/>
  <c r="F15" i="1"/>
  <c r="F32" i="7"/>
  <c r="F22" i="1"/>
  <c r="L18" i="1"/>
  <c r="Z4" i="7"/>
  <c r="Z9" i="7"/>
  <c r="Z19" i="7"/>
  <c r="Z24" i="7"/>
  <c r="F85" i="7"/>
  <c r="F84" i="7"/>
  <c r="J16" i="1"/>
  <c r="J17" i="1"/>
  <c r="J20" i="1"/>
  <c r="K20" i="1" s="1"/>
  <c r="J18" i="1"/>
  <c r="J15" i="1"/>
  <c r="E16" i="1"/>
  <c r="E17" i="1"/>
  <c r="E18" i="1"/>
  <c r="E15" i="1"/>
  <c r="F30" i="7"/>
  <c r="I15" i="7"/>
  <c r="I30" i="7"/>
  <c r="P30" i="7"/>
  <c r="F29" i="7"/>
  <c r="I29" i="7"/>
  <c r="T15" i="7"/>
  <c r="I14" i="7"/>
  <c r="F14" i="7"/>
  <c r="F15" i="7"/>
  <c r="C8" i="8"/>
  <c r="Y89" i="7" l="1"/>
  <c r="J40" i="7"/>
  <c r="AB68" i="7"/>
  <c r="AC72" i="14" s="1"/>
  <c r="AA68" i="7"/>
  <c r="AB72" i="14" s="1"/>
  <c r="AB64" i="7"/>
  <c r="AA64" i="7"/>
  <c r="AB68" i="14" s="1"/>
  <c r="AA9" i="7"/>
  <c r="AB15" i="14" s="1"/>
  <c r="AB9" i="7"/>
  <c r="AC15" i="14" s="1"/>
  <c r="AB60" i="7"/>
  <c r="AC64" i="14" s="1"/>
  <c r="AA60" i="7"/>
  <c r="AB64" i="14" s="1"/>
  <c r="AB52" i="7"/>
  <c r="AC56" i="14" s="1"/>
  <c r="AA52" i="7"/>
  <c r="AB56" i="14" s="1"/>
  <c r="GL2" i="13"/>
  <c r="AB24" i="7"/>
  <c r="AC30" i="14" s="1"/>
  <c r="AA24" i="7"/>
  <c r="AB30" i="14" s="1"/>
  <c r="AB56" i="7"/>
  <c r="AC60" i="14" s="1"/>
  <c r="AA56" i="7"/>
  <c r="AB60" i="14" s="1"/>
  <c r="E49" i="1"/>
  <c r="F49" i="1" s="1"/>
  <c r="F34" i="1"/>
  <c r="S29" i="1"/>
  <c r="K29" i="1"/>
  <c r="S28" i="1"/>
  <c r="K28" i="1"/>
  <c r="Y15" i="7"/>
  <c r="Z15" i="7" s="1"/>
  <c r="Y30" i="7"/>
  <c r="Z30" i="7" s="1"/>
  <c r="S30" i="1"/>
  <c r="S27" i="1"/>
  <c r="P30" i="1"/>
  <c r="P17" i="1"/>
  <c r="S31" i="1"/>
  <c r="P28" i="1"/>
  <c r="P20" i="1"/>
  <c r="J20" i="16"/>
  <c r="P29" i="1"/>
  <c r="K19" i="16"/>
  <c r="L30" i="16" s="1"/>
  <c r="N47" i="16" s="1"/>
  <c r="L53" i="16" s="1"/>
  <c r="HA2" i="13" s="1"/>
  <c r="P16" i="1"/>
  <c r="M31" i="1"/>
  <c r="M18" i="1"/>
  <c r="M30" i="1"/>
  <c r="M29" i="1"/>
  <c r="M27" i="1"/>
  <c r="M15" i="1"/>
  <c r="M16" i="1"/>
  <c r="M28" i="1"/>
  <c r="M17" i="1"/>
  <c r="J22" i="1"/>
  <c r="K22" i="1" s="1"/>
  <c r="H48" i="14"/>
  <c r="L22" i="1"/>
  <c r="M22" i="1" s="1"/>
  <c r="P15" i="1"/>
  <c r="K17" i="1"/>
  <c r="C21" i="8"/>
  <c r="P31" i="1"/>
  <c r="P18" i="1"/>
  <c r="P27" i="1"/>
  <c r="S20" i="1"/>
  <c r="S18" i="1"/>
  <c r="S17" i="1"/>
  <c r="S16" i="1"/>
  <c r="Z14" i="7"/>
  <c r="S15" i="7"/>
  <c r="K18" i="1"/>
  <c r="K15" i="1"/>
  <c r="S15" i="1"/>
  <c r="K16" i="1"/>
  <c r="Z22" i="7"/>
  <c r="Y32" i="7"/>
  <c r="Z7" i="7"/>
  <c r="Z29" i="7"/>
  <c r="E39" i="1"/>
  <c r="F39" i="1" s="1"/>
  <c r="E41" i="1"/>
  <c r="F89" i="7"/>
  <c r="J24" i="1"/>
  <c r="C10" i="8"/>
  <c r="C11" i="8"/>
  <c r="D11" i="8" s="1"/>
  <c r="AC88" i="14" l="1"/>
  <c r="AB88" i="14"/>
  <c r="AB19" i="7"/>
  <c r="AC25" i="14" s="1"/>
  <c r="AA19" i="7"/>
  <c r="AB25" i="14" s="1"/>
  <c r="AA29" i="7"/>
  <c r="AB35" i="14" s="1"/>
  <c r="AB29" i="7"/>
  <c r="AC35" i="14" s="1"/>
  <c r="AB14" i="7"/>
  <c r="AC20" i="14" s="1"/>
  <c r="AA14" i="7"/>
  <c r="AB20" i="14" s="1"/>
  <c r="AB4" i="7"/>
  <c r="AA4" i="7"/>
  <c r="L34" i="1"/>
  <c r="M34" i="1" s="1"/>
  <c r="F41" i="1"/>
  <c r="S22" i="1"/>
  <c r="K24" i="1"/>
  <c r="S24" i="1"/>
  <c r="P24" i="1"/>
  <c r="CZ2" i="13"/>
  <c r="GB2" i="13"/>
  <c r="GF2" i="13"/>
  <c r="Z47" i="7"/>
  <c r="E40" i="1"/>
  <c r="F40" i="1" s="1"/>
  <c r="E38" i="1"/>
  <c r="Z32" i="7"/>
  <c r="D10" i="8"/>
  <c r="D12" i="8" s="1"/>
  <c r="D14" i="8" s="1"/>
  <c r="C12" i="8"/>
  <c r="C14" i="8" s="1"/>
  <c r="C23" i="8" s="1"/>
  <c r="G41" i="7" s="1"/>
  <c r="AB10" i="14" l="1"/>
  <c r="AB84" i="14" s="1"/>
  <c r="AC10" i="14"/>
  <c r="AC84" i="14" s="1"/>
  <c r="E47" i="1"/>
  <c r="F47" i="1" s="1"/>
  <c r="AA45" i="7"/>
  <c r="F25" i="8"/>
  <c r="F38" i="1"/>
  <c r="B5" i="9" s="1"/>
  <c r="G46" i="14"/>
  <c r="L5" i="9"/>
  <c r="L4" i="9"/>
  <c r="L3" i="9"/>
  <c r="H4" i="9"/>
  <c r="H3" i="9"/>
  <c r="D4" i="9"/>
  <c r="D3" i="9"/>
  <c r="GD2" i="13"/>
  <c r="FZ2" i="13"/>
  <c r="F3" i="9"/>
  <c r="D5" i="9"/>
  <c r="H5" i="9"/>
  <c r="C25" i="8"/>
  <c r="C28" i="8" s="1"/>
  <c r="D28" i="8" s="1"/>
  <c r="P47" i="1" l="1"/>
  <c r="GK2" i="13"/>
  <c r="F28" i="8"/>
  <c r="G28" i="8" s="1"/>
  <c r="F27" i="8"/>
  <c r="F4" i="9"/>
  <c r="B4" i="9"/>
  <c r="B3" i="9"/>
  <c r="F5" i="9"/>
  <c r="C27" i="8"/>
  <c r="F29" i="8" l="1"/>
  <c r="G27" i="8"/>
  <c r="C29" i="8"/>
  <c r="D27" i="8"/>
  <c r="D31" i="8" s="1"/>
  <c r="H46" i="14" s="1"/>
  <c r="G29" i="8" l="1"/>
  <c r="G31" i="8"/>
  <c r="J42" i="7" s="1"/>
  <c r="G86" i="14" s="1"/>
  <c r="AA48" i="14"/>
  <c r="AA89" i="14" s="1"/>
  <c r="AA46" i="14"/>
  <c r="I89" i="7"/>
  <c r="I41" i="7"/>
  <c r="D29" i="8"/>
  <c r="L86" i="14" l="1"/>
  <c r="M86" i="14" s="1"/>
  <c r="G89" i="14"/>
  <c r="L89" i="14" s="1"/>
  <c r="M89" i="14" s="1"/>
  <c r="Z42" i="7"/>
  <c r="Z89" i="7" s="1"/>
  <c r="AA40" i="7"/>
  <c r="AB40" i="7"/>
  <c r="J23" i="1"/>
  <c r="AD90" i="14"/>
  <c r="CQ2" i="13"/>
  <c r="Z41" i="7"/>
  <c r="P34" i="1"/>
  <c r="P22" i="1"/>
  <c r="AC45" i="14" l="1"/>
  <c r="AC86" i="14" s="1"/>
  <c r="AC89" i="14" s="1"/>
  <c r="AB89" i="7"/>
  <c r="AB45" i="14"/>
  <c r="AB86" i="14" s="1"/>
  <c r="AB89" i="14" s="1"/>
  <c r="AA89" i="7"/>
  <c r="E45" i="1"/>
  <c r="GI2" i="13" l="1"/>
  <c r="F45" i="1"/>
  <c r="J4" i="9" s="1"/>
  <c r="E51" i="1"/>
  <c r="B54" i="1" s="1"/>
  <c r="P38" i="1"/>
  <c r="P40" i="1"/>
  <c r="P41" i="1"/>
  <c r="P39" i="1"/>
  <c r="P49" i="1"/>
  <c r="P45" i="1"/>
  <c r="J3" i="9" l="1"/>
  <c r="J5" i="9"/>
  <c r="F51" i="1"/>
  <c r="P51" i="1"/>
  <c r="Q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U5" authorId="0" shapeId="0" xr:uid="{39FE3C75-7CD6-40C5-A303-8EBB009025C6}">
      <text>
        <r>
          <rPr>
            <b/>
            <sz val="9"/>
            <color indexed="81"/>
            <rFont val="Segoe UI"/>
            <family val="2"/>
          </rPr>
          <t>Umschichtung nach Inclusion Support Participants</t>
        </r>
        <r>
          <rPr>
            <sz val="9"/>
            <color indexed="81"/>
            <rFont val="Segoe UI"/>
            <family val="2"/>
          </rPr>
          <t xml:space="preserve">
</t>
        </r>
      </text>
    </comment>
    <comment ref="V5" authorId="0" shapeId="0" xr:uid="{B581CE1A-20A3-4F5C-9257-70E1A3A3D846}">
      <text>
        <r>
          <rPr>
            <b/>
            <sz val="9"/>
            <color indexed="81"/>
            <rFont val="Segoe UI"/>
            <family val="2"/>
          </rPr>
          <t>Umschichtung nach Inclusion Suppport for HEIs</t>
        </r>
        <r>
          <rPr>
            <sz val="9"/>
            <color indexed="81"/>
            <rFont val="Segoe UI"/>
            <family val="2"/>
          </rPr>
          <t xml:space="preserve">
</t>
        </r>
      </text>
    </comment>
    <comment ref="C34" authorId="0" shapeId="0" xr:uid="{BB31C899-0153-4D72-9229-11345ACAE688}">
      <text>
        <r>
          <rPr>
            <sz val="9"/>
            <color indexed="81"/>
            <rFont val="Segoe UI"/>
            <family val="2"/>
          </rPr>
          <t xml:space="preserve">Hier sind die Echtkosten, die ersetzt wurden, einzutragen, NICHT Top-ups für Studierende der Kategorie Fewer Opportunities!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D6" authorId="0" shapeId="0" xr:uid="{EB505961-7E7E-4F44-82EC-1CF92B78A133}">
      <text>
        <r>
          <rPr>
            <sz val="9"/>
            <color indexed="81"/>
            <rFont val="Segoe UI"/>
            <family val="2"/>
          </rPr>
          <t xml:space="preserve">Max. 20 Personen werden gefördert!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K38" authorId="0" shapeId="0" xr:uid="{46F16658-ED14-49EF-B614-4881C7BEB6C2}">
      <text>
        <r>
          <rPr>
            <sz val="9"/>
            <color indexed="81"/>
            <rFont val="Segoe UI"/>
            <family val="2"/>
          </rPr>
          <t xml:space="preserve">Wenn Sie die Vorauszahlung erhalten haben, wählen Sie bitte X.
</t>
        </r>
      </text>
    </comment>
    <comment ref="K39" authorId="0" shapeId="0" xr:uid="{75FD3857-638D-4375-AC07-A0275F62E8C0}">
      <text>
        <r>
          <rPr>
            <sz val="9"/>
            <color indexed="81"/>
            <rFont val="Segoe UI"/>
            <family val="2"/>
          </rPr>
          <t xml:space="preserve">Wenn Sie die Vorauszahlung erhalten haben, wählen Sie bitte X.
</t>
        </r>
      </text>
    </comment>
    <comment ref="K40" authorId="0" shapeId="0" xr:uid="{63702A37-25A7-4F1D-9F80-078F166F0998}">
      <text>
        <r>
          <rPr>
            <sz val="9"/>
            <color indexed="81"/>
            <rFont val="Segoe UI"/>
            <family val="2"/>
          </rPr>
          <t xml:space="preserve">Wenn Sie die Vorauszahlung erhalten haben, wählen Sie bitte X.
</t>
        </r>
      </text>
    </comment>
    <comment ref="K41" authorId="0" shapeId="0" xr:uid="{B32CA3A2-2A67-43C7-8568-FE5E540EADD0}">
      <text>
        <r>
          <rPr>
            <sz val="9"/>
            <color indexed="81"/>
            <rFont val="Segoe UI"/>
            <family val="2"/>
          </rPr>
          <t xml:space="preserve">Wenn Sie die Vorauszahlung erhalten haben, wählen Sie bitte X.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Harringer, Elmar</author>
  </authors>
  <commentList>
    <comment ref="E12" authorId="0" shapeId="0" xr:uid="{BB343927-ACE9-4194-B51A-6CC55A759DD4}">
      <text>
        <r>
          <rPr>
            <b/>
            <sz val="9"/>
            <color indexed="81"/>
            <rFont val="Segoe UI"/>
            <family val="2"/>
          </rPr>
          <t>Harringer, Elmar:</t>
        </r>
        <r>
          <rPr>
            <sz val="9"/>
            <color indexed="81"/>
            <rFont val="Segoe UI"/>
            <family val="2"/>
          </rPr>
          <t xml:space="preserve">
Kontrolle aus Vertragsdaten</t>
        </r>
      </text>
    </comment>
  </commentList>
</comments>
</file>

<file path=xl/sharedStrings.xml><?xml version="1.0" encoding="utf-8"?>
<sst xmlns="http://schemas.openxmlformats.org/spreadsheetml/2006/main" count="1865" uniqueCount="1053">
  <si>
    <t xml:space="preserve">     ERASMUS-Code:</t>
  </si>
  <si>
    <t xml:space="preserve">     Hochschule:</t>
  </si>
  <si>
    <t>Gesamt</t>
  </si>
  <si>
    <t>STA</t>
  </si>
  <si>
    <t>STT</t>
  </si>
  <si>
    <t>Fachhochschule Salzburg GmbH</t>
  </si>
  <si>
    <t xml:space="preserve">     GZ:</t>
  </si>
  <si>
    <t>Bitte nur die gelb hinterlegten Felder ausfüllen!</t>
  </si>
  <si>
    <t>Pädagogische Hochschule Vorarlberg</t>
  </si>
  <si>
    <t>Pädagogische Hochschule Tirol</t>
  </si>
  <si>
    <t>FH Gesundheitsberufe OÖ GmbH</t>
  </si>
  <si>
    <t>Privatuniversität Schloss Seeburg</t>
  </si>
  <si>
    <t>Fachhochschule Technikum Wien</t>
  </si>
  <si>
    <t>Lauder Business School</t>
  </si>
  <si>
    <t>Theresianische Militärakademie Fachhochschul-Bachelorstudiengang Militärische Führung</t>
  </si>
  <si>
    <t>A  BADEN01</t>
  </si>
  <si>
    <t>A  DORNBIR01</t>
  </si>
  <si>
    <t>A  EISENST01</t>
  </si>
  <si>
    <t>A  EISENST02</t>
  </si>
  <si>
    <t>A  EISENST05</t>
  </si>
  <si>
    <t>A  FELDKIR01</t>
  </si>
  <si>
    <t>A  GRAZ01</t>
  </si>
  <si>
    <t>A  GRAZ02</t>
  </si>
  <si>
    <t>A  GRAZ03</t>
  </si>
  <si>
    <t>A  GRAZ04</t>
  </si>
  <si>
    <t>A  GRAZ08</t>
  </si>
  <si>
    <t>A  GRAZ09</t>
  </si>
  <si>
    <t>A  GRAZ10</t>
  </si>
  <si>
    <t>A  GRAZ23</t>
  </si>
  <si>
    <t>A  INNSBRU01</t>
  </si>
  <si>
    <t>A  INNSBRU03</t>
  </si>
  <si>
    <t>A  INNSBRU08</t>
  </si>
  <si>
    <t>A  INNSBRU09</t>
  </si>
  <si>
    <t>A  INNSBRU20</t>
  </si>
  <si>
    <t>A  INNSBRU21</t>
  </si>
  <si>
    <t>A  INNSBRU23</t>
  </si>
  <si>
    <t>A  KLAGENF01</t>
  </si>
  <si>
    <t>A  KLAGENF02</t>
  </si>
  <si>
    <t>A  KLAGENF06</t>
  </si>
  <si>
    <t>A  KREMS03</t>
  </si>
  <si>
    <t>A  KREMS05</t>
  </si>
  <si>
    <t>A  KUFSTEI01</t>
  </si>
  <si>
    <t>A  LEOBEN01</t>
  </si>
  <si>
    <t>A  LINZ01</t>
  </si>
  <si>
    <t>A  LINZ02</t>
  </si>
  <si>
    <t>A  LINZ03</t>
  </si>
  <si>
    <t>A  LINZ04</t>
  </si>
  <si>
    <t>A  LINZ11</t>
  </si>
  <si>
    <t>A  LINZ17</t>
  </si>
  <si>
    <t>A  LINZ23</t>
  </si>
  <si>
    <t>A  SALZBUR01</t>
  </si>
  <si>
    <t>A  SALZBUR02</t>
  </si>
  <si>
    <t>A  SALZBUR08</t>
  </si>
  <si>
    <t>A  SALZBUR18</t>
  </si>
  <si>
    <t>A  SPITTAL01</t>
  </si>
  <si>
    <t>A  ST-POLT03</t>
  </si>
  <si>
    <t>A  ST-POLT10</t>
  </si>
  <si>
    <t>A  WELS01</t>
  </si>
  <si>
    <t>A  WIEN01</t>
  </si>
  <si>
    <t>A  WIEN02</t>
  </si>
  <si>
    <t>A  WIEN03</t>
  </si>
  <si>
    <t>A  WIEN04</t>
  </si>
  <si>
    <t>A  WIEN05</t>
  </si>
  <si>
    <t>A  WIEN06</t>
  </si>
  <si>
    <t>A  WIEN07</t>
  </si>
  <si>
    <t>A  WIEN08</t>
  </si>
  <si>
    <t>A  WIEN09</t>
  </si>
  <si>
    <t>A  WIEN10</t>
  </si>
  <si>
    <t>A  WIEN15</t>
  </si>
  <si>
    <t>A  WIEN20</t>
  </si>
  <si>
    <t>A  WIEN21</t>
  </si>
  <si>
    <t>A  WIEN38</t>
  </si>
  <si>
    <t>A  WIEN52</t>
  </si>
  <si>
    <t>A  WIEN63</t>
  </si>
  <si>
    <t>A  WIEN64</t>
  </si>
  <si>
    <t>A  WIEN66</t>
  </si>
  <si>
    <t>A  WIEN68</t>
  </si>
  <si>
    <t>A  WIEN70</t>
  </si>
  <si>
    <t>A  WIENER01</t>
  </si>
  <si>
    <t>A  WIENER04</t>
  </si>
  <si>
    <t>Ergebnis</t>
  </si>
  <si>
    <t>ProjectCode</t>
  </si>
  <si>
    <t>PAEDAGOGISCHE HOCHSCHULE NIEDERÖSTERREICH</t>
  </si>
  <si>
    <t>FACHHOCHSCHULE VORARLBERG GMBH</t>
  </si>
  <si>
    <t>STIFTUNG PRIVATE PÄDAGOGISCHE HOCHSCHULE BURGENLAND</t>
  </si>
  <si>
    <t>UNIVERSITAET GRAZ</t>
  </si>
  <si>
    <t>TECHNISCHE UNIVERSITAET GRAZ</t>
  </si>
  <si>
    <t>UNIVERSITAT FUR MUSIK UND DARSTELLENDE KUNST GRAZ (KUG)</t>
  </si>
  <si>
    <t>University College of Teacher Education Styria</t>
  </si>
  <si>
    <t>CAMPUS 02 FACHHOCHSCHULE DER WIRTSCHAFT GMBH</t>
  </si>
  <si>
    <t>MEDIZINISCHE UNIVERSITAT GRAZ</t>
  </si>
  <si>
    <t>UNIVERSITAET INNSBRUCK</t>
  </si>
  <si>
    <t>MCI MANAGEMENT CENTER INNSBRUCK INTERNATIONALE HOCHSCHULE GMBH</t>
  </si>
  <si>
    <t>Private Pädagogische Hochschule - Hochschulstiftung der Diözese Innsbruck</t>
  </si>
  <si>
    <t>UMIT- PRIVATE UNIVERSITAT FUER GESUNDHEITSWISSENSCHAFTEN, MEDIZINISCHEINFORMATIK UND TECHNIK GMBH</t>
  </si>
  <si>
    <t>MEDIZINISCHE UNIVERSITAT INNSBRUCK</t>
  </si>
  <si>
    <t>FHG - ZENTRUM FUER GESUNDHEITSBERUFE TIROL GMBH</t>
  </si>
  <si>
    <t>UNIVERSITAET KLAGENFURT</t>
  </si>
  <si>
    <t>Pädagogische Hochschule Kärnten</t>
  </si>
  <si>
    <t>FHS KUFSTEIN TIROL BILDUNGS GMBH</t>
  </si>
  <si>
    <t>UNIVERSITAT LINZ</t>
  </si>
  <si>
    <t>PARIS-LODRON-UNIVERSITAT SALZBURG</t>
  </si>
  <si>
    <t>FACHHOCHSCHULE ST POELTEN GMBH</t>
  </si>
  <si>
    <t>FH OO STUDIENBETRIEBS GMBH</t>
  </si>
  <si>
    <t>TECHNISCHE UNIVERSITAET WIEN</t>
  </si>
  <si>
    <t>UNIVERSITAET FUER BODENKULTUR WIEN</t>
  </si>
  <si>
    <t>VETERINAERMEDIZINISCHE UNIVERSITAET WIEN</t>
  </si>
  <si>
    <t>WIRTSCHAFTSUNIVERSITAT WIEN</t>
  </si>
  <si>
    <t>AKADEMIE DER BILDENDEN KUNSTE WIEN</t>
  </si>
  <si>
    <t>UNIVERSITAT FUR ANGEWANDTE KUNST WIEN</t>
  </si>
  <si>
    <t>FACHHOCHSCHULE DES BFI WIEN GESELLSCHAFT M.B.H.</t>
  </si>
  <si>
    <t>FH-CAMPUS WIEN - VEREIN ZUR FORDERUNG DES FACHHOCHSCHUL-, ENTWICKLUNGS- UND FORSCHUNGSZENTRUMS IM SUDEN WIENS</t>
  </si>
  <si>
    <t>MEDIZINISCHE UNIVERSITAET WIEN</t>
  </si>
  <si>
    <t>MODUL UNIVERSITY VIENNA GMBH</t>
  </si>
  <si>
    <t>€</t>
  </si>
  <si>
    <t>Summe</t>
  </si>
  <si>
    <t>FACHHOCHSCHULE BURGENLAND GMBH</t>
  </si>
  <si>
    <t>IMC FACHHOCHSCHULE KREMS GMBH</t>
  </si>
  <si>
    <t>UNIVERSITAT MOZARTEUM SALZBURG</t>
  </si>
  <si>
    <t>UNIVERSITAT WIEN</t>
  </si>
  <si>
    <t>Musik und Kunst Privatuniversität der Stadt Wien GmbH</t>
  </si>
  <si>
    <t>A  KLOSTER01</t>
  </si>
  <si>
    <t>A  WIEN74</t>
  </si>
  <si>
    <t>FH JOANNEUM GESELLSCHAFT MBH</t>
  </si>
  <si>
    <t>UNIVERSITAT FUR WEITERBILDUNG KREMS</t>
  </si>
  <si>
    <t>UNIVERSITAT FUR KUNSTLERISCHE UND INDUSTRIELLE GESTALTUNG LINZ</t>
  </si>
  <si>
    <t>PRIVATE PADAGOGISCHE HOCHSCHULE DER DIOZESE LINZ</t>
  </si>
  <si>
    <t>ANTON BRUCKNER PRIVATUNIVERSITAT</t>
  </si>
  <si>
    <t>NEW DESIGN UNIVERSITY PRIVATUNIVERSITAT GESMBH</t>
  </si>
  <si>
    <t>UNIVERSITAT FUR MUSIK UND DARSTELLENDE KUNST WIEN</t>
  </si>
  <si>
    <t>SIGMUND FREUD PRIVATUNIVERSITAT WIEN GMBH</t>
  </si>
  <si>
    <t>FACHHOCHSCHULE WIENER NEUSTADT GMBH</t>
  </si>
  <si>
    <t>A  FELDKIR03</t>
  </si>
  <si>
    <t>A  KREMS06</t>
  </si>
  <si>
    <t>A  WIEN75</t>
  </si>
  <si>
    <t>A  WIEN76</t>
  </si>
  <si>
    <t>Karl Landsteiner Privatuniversität für Gesundheitswissenschaften GmbH</t>
  </si>
  <si>
    <t>MONTANUNIVERSITAET LEOBEN</t>
  </si>
  <si>
    <t>JAM MUSIC LAB Private University for Jazz and Popular Music Vienna</t>
  </si>
  <si>
    <t>Gesetzliche/r Vertreter/in der Hochschulinstitution</t>
  </si>
  <si>
    <t>Datum</t>
  </si>
  <si>
    <t>Unterschrift</t>
  </si>
  <si>
    <t>E10054064</t>
  </si>
  <si>
    <t>E10208308</t>
  </si>
  <si>
    <t>E10106070</t>
  </si>
  <si>
    <t>E10080646</t>
  </si>
  <si>
    <t>E10108614</t>
  </si>
  <si>
    <t>E10125992</t>
  </si>
  <si>
    <t>E10107661</t>
  </si>
  <si>
    <t>E10208908</t>
  </si>
  <si>
    <t>E10209400</t>
  </si>
  <si>
    <t>E10150994</t>
  </si>
  <si>
    <t>E10067249</t>
  </si>
  <si>
    <t>E10118298</t>
  </si>
  <si>
    <t>E10207256</t>
  </si>
  <si>
    <t>E10180135</t>
  </si>
  <si>
    <t>E10208589</t>
  </si>
  <si>
    <t>E10208876</t>
  </si>
  <si>
    <t>E10102599</t>
  </si>
  <si>
    <t>E10205342</t>
  </si>
  <si>
    <t>E10103835</t>
  </si>
  <si>
    <t>E10208754</t>
  </si>
  <si>
    <t>E10211627</t>
  </si>
  <si>
    <t>E10208594</t>
  </si>
  <si>
    <t>E10173780</t>
  </si>
  <si>
    <t>E10189052</t>
  </si>
  <si>
    <t>E10054647</t>
  </si>
  <si>
    <t>E10208841</t>
  </si>
  <si>
    <t>E10067356</t>
  </si>
  <si>
    <t>E10200255</t>
  </si>
  <si>
    <t>E10209119</t>
  </si>
  <si>
    <t>E10209080</t>
  </si>
  <si>
    <t>E10205663</t>
  </si>
  <si>
    <t>E10080085</t>
  </si>
  <si>
    <t>E10026665</t>
  </si>
  <si>
    <t>E10205657</t>
  </si>
  <si>
    <t>E10205492</t>
  </si>
  <si>
    <t>E10097390</t>
  </si>
  <si>
    <t>E10208866</t>
  </si>
  <si>
    <t>E10093810</t>
  </si>
  <si>
    <t>E10062661</t>
  </si>
  <si>
    <t>E10186156</t>
  </si>
  <si>
    <t>E10113741</t>
  </si>
  <si>
    <t>E10200778</t>
  </si>
  <si>
    <t>E10146606</t>
  </si>
  <si>
    <t>E10137975</t>
  </si>
  <si>
    <t>E10155097</t>
  </si>
  <si>
    <t>E10208854</t>
  </si>
  <si>
    <t>E10209415</t>
  </si>
  <si>
    <t>E10209455</t>
  </si>
  <si>
    <t>E10208722</t>
  </si>
  <si>
    <t>E10208161</t>
  </si>
  <si>
    <t>E10179725</t>
  </si>
  <si>
    <t>E10207671</t>
  </si>
  <si>
    <t>E10151881</t>
  </si>
  <si>
    <t>E10102265</t>
  </si>
  <si>
    <t>E10178676</t>
  </si>
  <si>
    <t>E10103635</t>
  </si>
  <si>
    <t>E10204184</t>
  </si>
  <si>
    <t>E10078269</t>
  </si>
  <si>
    <t>E10083917</t>
  </si>
  <si>
    <t>E10106327</t>
  </si>
  <si>
    <t>E10163238</t>
  </si>
  <si>
    <t>E10209471</t>
  </si>
  <si>
    <t>E10187241</t>
  </si>
  <si>
    <t>E10190418</t>
  </si>
  <si>
    <t>E10150824</t>
  </si>
  <si>
    <t>E10107447</t>
  </si>
  <si>
    <t>E10179040</t>
  </si>
  <si>
    <t>E10198846</t>
  </si>
  <si>
    <t>E10097899</t>
  </si>
  <si>
    <t>Pädagogische Hochschule Wien</t>
  </si>
  <si>
    <t>HOCHSCHULE FUR AGRAR- UND UMWELTPADAGOGIK</t>
  </si>
  <si>
    <t>BILDUNGSVEREIN FUR DIE FREUNDE DER WEBSTER UNIVERSITY (ST. LOUIS, USA)</t>
  </si>
  <si>
    <t xml:space="preserve">     OID:</t>
  </si>
  <si>
    <t>Gustav Mahler Privatuniversität für Musik</t>
  </si>
  <si>
    <t>INSTITUTE OF SCIENCE AND TECHNOLOGYAUSTRIA</t>
  </si>
  <si>
    <t>Katholische Privat-Universitaet Linz</t>
  </si>
  <si>
    <t>KIRCHLICHE PÄDAGOGISCHE HOCHSCHULE WIEN / KREMS</t>
  </si>
  <si>
    <t>Erasmus Code</t>
  </si>
  <si>
    <t>InstName</t>
  </si>
  <si>
    <t>SMS_Mob</t>
  </si>
  <si>
    <t>SMS_€</t>
  </si>
  <si>
    <t>SMT_Mob</t>
  </si>
  <si>
    <t>SMT_€</t>
  </si>
  <si>
    <t>STA_Mob</t>
  </si>
  <si>
    <t>STA_t</t>
  </si>
  <si>
    <t>STA_€</t>
  </si>
  <si>
    <t>STT_Mob</t>
  </si>
  <si>
    <t>STT_t</t>
  </si>
  <si>
    <t>STT_€</t>
  </si>
  <si>
    <t>OS_€</t>
  </si>
  <si>
    <t>OS_Mob</t>
  </si>
  <si>
    <t>TOTAL GRANT</t>
  </si>
  <si>
    <t>Auszahlung</t>
  </si>
  <si>
    <t>80%</t>
  </si>
  <si>
    <t>40%</t>
  </si>
  <si>
    <t>20%</t>
  </si>
  <si>
    <t>Laufzeit Projekt</t>
  </si>
  <si>
    <t>CP VN</t>
  </si>
  <si>
    <t>CP NN</t>
  </si>
  <si>
    <t>CP_gender</t>
  </si>
  <si>
    <t>CP_email</t>
  </si>
  <si>
    <t>CP_ges</t>
  </si>
  <si>
    <t>80-20</t>
  </si>
  <si>
    <t>26 Monate</t>
  </si>
  <si>
    <t>Joseph Haydn Konservatorium GmbH</t>
  </si>
  <si>
    <t>40-40-20</t>
  </si>
  <si>
    <t>PAEDAGOGISCHE HOCHSCHULE OBEROSTERREICH</t>
  </si>
  <si>
    <t>Pädagogische Hochschule Salzburg Stefan Zweig</t>
  </si>
  <si>
    <t>A  SALZBUR19</t>
  </si>
  <si>
    <t>PARACELSUS MEDIZINISCHE PRIVATUNIVERSITAT SALZBURG - PRIVATSTIFTUNG</t>
  </si>
  <si>
    <t>Petra WINTER</t>
  </si>
  <si>
    <t>2021-1-AT01-KA131-HED-000008568</t>
  </si>
  <si>
    <t>FHW Fachhochschul-Studiengänge Betriebs- und Forschungseinrichtungen der Wiener Wirtschaft GmbH</t>
  </si>
  <si>
    <t>A  WIEN72</t>
  </si>
  <si>
    <t>Wiener Psychoanalytische Akademie</t>
  </si>
  <si>
    <t>VMI-Vienna Music Institute - Konservatorium des Herrn Mag. Ernst Ritsch</t>
  </si>
  <si>
    <t>A  WIEN78</t>
  </si>
  <si>
    <t>CEU GMBH</t>
  </si>
  <si>
    <t>OID</t>
  </si>
  <si>
    <t>E10203046</t>
  </si>
  <si>
    <t>E10115036</t>
  </si>
  <si>
    <t>E10269139</t>
  </si>
  <si>
    <t>Legal Representative</t>
  </si>
  <si>
    <t>Legal Representative Email</t>
  </si>
  <si>
    <t>Legal Representative2</t>
  </si>
  <si>
    <t>Erwin Rauscher</t>
  </si>
  <si>
    <t>Stefan Fitz-Rankl</t>
  </si>
  <si>
    <t>Sabine Weisz</t>
  </si>
  <si>
    <t>Georg Pehm</t>
  </si>
  <si>
    <t>Franz Steindl</t>
  </si>
  <si>
    <t>Gernot Brauchle</t>
  </si>
  <si>
    <t>Petra Schaper-Rinkel</t>
  </si>
  <si>
    <t>Stefan Vorbach</t>
  </si>
  <si>
    <t>Georg Schulz</t>
  </si>
  <si>
    <t>Elgrid Messner</t>
  </si>
  <si>
    <t>Andrea Seel</t>
  </si>
  <si>
    <t>Tilmann Märk</t>
  </si>
  <si>
    <t>Thomas Schöpf</t>
  </si>
  <si>
    <t>Andreas Altmann</t>
  </si>
  <si>
    <t>Walter Draxl</t>
  </si>
  <si>
    <t>Doris Hattenberger</t>
  </si>
  <si>
    <t>Ulrike Prommer</t>
  </si>
  <si>
    <t>Friedrich Faulhammer</t>
  </si>
  <si>
    <t>Rudolf Mallinger</t>
  </si>
  <si>
    <t>Thomas Madritsch</t>
  </si>
  <si>
    <t>Peter Moser</t>
  </si>
  <si>
    <t>Stefan Koch</t>
  </si>
  <si>
    <t>Walter Vogel</t>
  </si>
  <si>
    <t>Franz Keplinger</t>
  </si>
  <si>
    <t>Christoph Niemand</t>
  </si>
  <si>
    <t>Martin Rummel</t>
  </si>
  <si>
    <t>Bettina Schneebauer</t>
  </si>
  <si>
    <t>Hendrik Lehnert</t>
  </si>
  <si>
    <t>Elisabeth Gutjahr</t>
  </si>
  <si>
    <t>Doris Walter</t>
  </si>
  <si>
    <t>Christoph Stöckmann</t>
  </si>
  <si>
    <t>Wolfgang Sperl</t>
  </si>
  <si>
    <t>Lydia Gruber</t>
  </si>
  <si>
    <t>Gernot Kohl</t>
  </si>
  <si>
    <t>Herbert Grüner</t>
  </si>
  <si>
    <t>Johannes Zederbauer</t>
  </si>
  <si>
    <t>Regina Aichinger</t>
  </si>
  <si>
    <t>Jean-Robert Tyran</t>
  </si>
  <si>
    <t>Kurt Matyas</t>
  </si>
  <si>
    <t>Margarethe Rammerstorfer</t>
  </si>
  <si>
    <t>Gerald BAST</t>
  </si>
  <si>
    <t>Johannes Meissl</t>
  </si>
  <si>
    <t>Christoph Berger</t>
  </si>
  <si>
    <t>Thomas Haase</t>
  </si>
  <si>
    <t>Michael Heritsch</t>
  </si>
  <si>
    <t>Eva Schiessl-Foggensteiner</t>
  </si>
  <si>
    <t>Andreas Mailath-Pokorny</t>
  </si>
  <si>
    <t>Horst Rode</t>
  </si>
  <si>
    <t>Wilhelm Behensky</t>
  </si>
  <si>
    <t>Michaela Fritz</t>
  </si>
  <si>
    <t>Karl Woeber</t>
  </si>
  <si>
    <t>Alfred Pritz</t>
  </si>
  <si>
    <t>Alexander Zirkler</t>
  </si>
  <si>
    <t>Ernst Ritsch</t>
  </si>
  <si>
    <t>Johannes Pollak</t>
  </si>
  <si>
    <t>Marcus Ratka</t>
  </si>
  <si>
    <t>Peter Erlacher</t>
  </si>
  <si>
    <t>Jürgen WÖRGÖTTER</t>
  </si>
  <si>
    <t>Martin Payer</t>
  </si>
  <si>
    <t>Karl P. Pfeiffer</t>
  </si>
  <si>
    <t>Erich Brugger</t>
  </si>
  <si>
    <t>Kristina Edlinger-Ploder</t>
  </si>
  <si>
    <t>Gabriele Költringer</t>
  </si>
  <si>
    <t>Legal Representative Email2</t>
  </si>
  <si>
    <t>BIP 1 Mob</t>
  </si>
  <si>
    <t>BIP 1 €</t>
  </si>
  <si>
    <t>BIP 2 Mob</t>
  </si>
  <si>
    <t>BIP 2 €</t>
  </si>
  <si>
    <t>BIP 3 Mob</t>
  </si>
  <si>
    <t>BIP 3 €</t>
  </si>
  <si>
    <t>BIP 4 Mob</t>
  </si>
  <si>
    <t>BIP 4 €</t>
  </si>
  <si>
    <t>BIP 5 Mob</t>
  </si>
  <si>
    <t>BIP 5 €</t>
  </si>
  <si>
    <t>GZ</t>
  </si>
  <si>
    <t>292/056/21</t>
  </si>
  <si>
    <t>von STA</t>
  </si>
  <si>
    <t>von STT</t>
  </si>
  <si>
    <t>nach STA</t>
  </si>
  <si>
    <t>nach STT</t>
  </si>
  <si>
    <t>nach SMS</t>
  </si>
  <si>
    <t>von SMS</t>
  </si>
  <si>
    <t>SMS</t>
  </si>
  <si>
    <t>Mobilitäten</t>
  </si>
  <si>
    <t>SMT</t>
  </si>
  <si>
    <t>lt. Vertrag</t>
  </si>
  <si>
    <t>geplant</t>
  </si>
  <si>
    <t>OS</t>
  </si>
  <si>
    <t>Mob</t>
  </si>
  <si>
    <t>nach ZB</t>
  </si>
  <si>
    <t>90% Grenze</t>
  </si>
  <si>
    <t>Mob für Abrechnung</t>
  </si>
  <si>
    <t>Inclusion Support HEI</t>
  </si>
  <si>
    <t>IncS_HEI Mob</t>
  </si>
  <si>
    <t>IncS_HEI €</t>
  </si>
  <si>
    <t>IncS_Part Mob</t>
  </si>
  <si>
    <t>IncS_Part €</t>
  </si>
  <si>
    <t>Except_Costs €</t>
  </si>
  <si>
    <t>Inclusion Support Participants</t>
  </si>
  <si>
    <t>von SMT</t>
  </si>
  <si>
    <t>nach SMT</t>
  </si>
  <si>
    <t>von OS</t>
  </si>
  <si>
    <t>Saldo</t>
  </si>
  <si>
    <t>zur Verfügung nach Umschichtung</t>
  </si>
  <si>
    <t>SM</t>
  </si>
  <si>
    <t>nach SM</t>
  </si>
  <si>
    <t>nach ST</t>
  </si>
  <si>
    <t>ST</t>
  </si>
  <si>
    <t>Tage finanziert</t>
  </si>
  <si>
    <t>Tage zero grant</t>
  </si>
  <si>
    <t>realisiert/
zuerkannt</t>
  </si>
  <si>
    <t>Übersicht</t>
  </si>
  <si>
    <t>Budget lt. Bericht</t>
  </si>
  <si>
    <t>Budget bewilligt</t>
  </si>
  <si>
    <t>von BIP</t>
  </si>
  <si>
    <t>Umschichtungen</t>
  </si>
  <si>
    <t>OS BIP</t>
  </si>
  <si>
    <t>Antrag auf Zusatzmittel / Verzicht</t>
  </si>
  <si>
    <t>Bestätigung</t>
  </si>
  <si>
    <t xml:space="preserve">     Vertragsnummer/BM Project number:</t>
  </si>
  <si>
    <t>lt. Finanzhilfe-Vereinbarung</t>
  </si>
  <si>
    <t>Betrag lt.Vereinbarung</t>
  </si>
  <si>
    <t>Reise-/Aufenthaltskosten bereits ausbezahlt</t>
  </si>
  <si>
    <t>1. Vorauszahlung</t>
  </si>
  <si>
    <t>Name:</t>
  </si>
  <si>
    <t>Name der Abteilung:</t>
  </si>
  <si>
    <t>Bestätigung durch Finanzabteilung</t>
  </si>
  <si>
    <t>Aufwendungen für BIPs bereits ausbezahlt</t>
  </si>
  <si>
    <t>Kontrolle</t>
  </si>
  <si>
    <t>Diff</t>
  </si>
  <si>
    <t>1.)</t>
  </si>
  <si>
    <t>2.)</t>
  </si>
  <si>
    <t>3.)</t>
  </si>
  <si>
    <t>4.)</t>
  </si>
  <si>
    <t>5.)</t>
  </si>
  <si>
    <t>6.)</t>
  </si>
  <si>
    <t>--&gt; Dateneingabe</t>
  </si>
  <si>
    <t>Speichern Sie diese Datei ab.</t>
  </si>
  <si>
    <t>--&gt; Ausdruck 1</t>
  </si>
  <si>
    <t>--&gt; Ausdruck 2</t>
  </si>
  <si>
    <t>&lt;-- Bitte Erasmus Code auswählen --&gt;</t>
  </si>
  <si>
    <t>=WENN(E35=0;"";"Annehmen")</t>
  </si>
  <si>
    <t>=WENN(E36=0;"";"Annehmen")</t>
  </si>
  <si>
    <t>=WENN(E37=0;"";"Annehmen")</t>
  </si>
  <si>
    <t>=WENN(E39=0;"";"Annehmen")</t>
  </si>
  <si>
    <t>Umschichtung</t>
  </si>
  <si>
    <t>E-Code</t>
  </si>
  <si>
    <t>SMS MOB real</t>
  </si>
  <si>
    <t>SMS MOB gepl</t>
  </si>
  <si>
    <t>SMS EURO real</t>
  </si>
  <si>
    <t>SMS EURO gepl</t>
  </si>
  <si>
    <t>SMS UM von SMS</t>
  </si>
  <si>
    <t>SMS UM nach SMS</t>
  </si>
  <si>
    <t>SMS UM von SMT</t>
  </si>
  <si>
    <t>SMS UM nach SMT</t>
  </si>
  <si>
    <t>SMS UM von STA</t>
  </si>
  <si>
    <t>SMS UM nach STA</t>
  </si>
  <si>
    <t>SMS UM von STT</t>
  </si>
  <si>
    <t>SMS UM nach STT</t>
  </si>
  <si>
    <t>SMS UM von OS</t>
  </si>
  <si>
    <t>SMS UM von BIP</t>
  </si>
  <si>
    <t>SMT MOB real</t>
  </si>
  <si>
    <t>SMT MOB gepl</t>
  </si>
  <si>
    <t>SMT EURO real</t>
  </si>
  <si>
    <t>SMT EURO gepl</t>
  </si>
  <si>
    <t>SMT UM von SMT</t>
  </si>
  <si>
    <t>SMT UM nach SMT</t>
  </si>
  <si>
    <t>SMT UM von STA</t>
  </si>
  <si>
    <t>SMT UM nach STA</t>
  </si>
  <si>
    <t>SMT UM von STT</t>
  </si>
  <si>
    <t>SMT UM nach STT</t>
  </si>
  <si>
    <t>SMT UM von OS</t>
  </si>
  <si>
    <t>SMT UM von BIP</t>
  </si>
  <si>
    <t>STA MOB real</t>
  </si>
  <si>
    <t>STA MOB gepl</t>
  </si>
  <si>
    <t>STA EURO real</t>
  </si>
  <si>
    <t>STA EURO gepl</t>
  </si>
  <si>
    <t>STA UM von STA</t>
  </si>
  <si>
    <t>STA UM nach STA</t>
  </si>
  <si>
    <t>STA UM von STT</t>
  </si>
  <si>
    <t>STA UM nach STT</t>
  </si>
  <si>
    <t>STA UM von OS</t>
  </si>
  <si>
    <t>STA UM von BIP</t>
  </si>
  <si>
    <t>STT MOB real</t>
  </si>
  <si>
    <t>STT MOB gepl</t>
  </si>
  <si>
    <t>STT EURO real</t>
  </si>
  <si>
    <t>STT EURO gepl</t>
  </si>
  <si>
    <t>STT UM von STT</t>
  </si>
  <si>
    <t>STT UM nach STT</t>
  </si>
  <si>
    <t>STT UM von OS</t>
  </si>
  <si>
    <t>STT UM von BIP</t>
  </si>
  <si>
    <t>SMT UM von SMS</t>
  </si>
  <si>
    <t>SMT UM nach SMS</t>
  </si>
  <si>
    <t>STA UM von SMS</t>
  </si>
  <si>
    <t>STA UM nach SMS</t>
  </si>
  <si>
    <t>STA UM von SMT</t>
  </si>
  <si>
    <t>STA UM nach SMT</t>
  </si>
  <si>
    <t>STT UM von SMS</t>
  </si>
  <si>
    <t>STT UM nach SMS</t>
  </si>
  <si>
    <t>STT UM von SMT</t>
  </si>
  <si>
    <t>STT UM nach SMT</t>
  </si>
  <si>
    <t>STT UM von STA</t>
  </si>
  <si>
    <t>STT UM nach STA</t>
  </si>
  <si>
    <t>InSuPar MOB real</t>
  </si>
  <si>
    <t>InSuPar MOB gepl</t>
  </si>
  <si>
    <t>InSuPar EURO real</t>
  </si>
  <si>
    <t>InSuPar EURO gepl</t>
  </si>
  <si>
    <t>OS MOB rel</t>
  </si>
  <si>
    <t>OS MOB gepl</t>
  </si>
  <si>
    <t>OS EURO möglich</t>
  </si>
  <si>
    <t>OS EURO Meldung</t>
  </si>
  <si>
    <t>OS UM nach SMS</t>
  </si>
  <si>
    <t>OS UM nach SMT</t>
  </si>
  <si>
    <t>OS UM nach STA</t>
  </si>
  <si>
    <t>OS UM nach STT</t>
  </si>
  <si>
    <t>InSupHEI Mob real</t>
  </si>
  <si>
    <t>InSupHEI Mob gepl</t>
  </si>
  <si>
    <t xml:space="preserve">InSupHEI EURO </t>
  </si>
  <si>
    <t>SMS Antrag EURO</t>
  </si>
  <si>
    <t>SMS Antrag STATUS</t>
  </si>
  <si>
    <t>SMT Antrag EURO</t>
  </si>
  <si>
    <t>SMT Antrag STATUS</t>
  </si>
  <si>
    <t>STA Antrag EURO</t>
  </si>
  <si>
    <t>STA Antrag STATUS</t>
  </si>
  <si>
    <t>STT Antrag EURO</t>
  </si>
  <si>
    <t>STT Antrag STATUS</t>
  </si>
  <si>
    <t>OS Antrag EURO</t>
  </si>
  <si>
    <t>OS Antrag STATUS</t>
  </si>
  <si>
    <t>1. Auszahlung</t>
  </si>
  <si>
    <t>TR-IS aus</t>
  </si>
  <si>
    <t>OS aus</t>
  </si>
  <si>
    <t>BIP OS aus</t>
  </si>
  <si>
    <t>Summe aus</t>
  </si>
  <si>
    <t>Anteil aus</t>
  </si>
  <si>
    <t>Ausdruck1 Datum1</t>
  </si>
  <si>
    <t>Ausdruck1 Datum2</t>
  </si>
  <si>
    <t>Bitte füllen Sie das Tabellenblatt Ausdruck 1 aus.</t>
  </si>
  <si>
    <t>Bitte füllen Sie NUR die gelb hinterlegten Felder aus!</t>
  </si>
  <si>
    <t>Drucken Sie bitte Ausdruck 1 aus.</t>
  </si>
  <si>
    <t>7.)</t>
  </si>
  <si>
    <t>Die Werte in Spalte K sind nur zum Gegencheck.</t>
  </si>
  <si>
    <t>Hiermit wird die Richtigkeit der oben aufgeführten, ausbezahlten Summen bestätigt.</t>
  </si>
  <si>
    <t>max. möglich €</t>
  </si>
  <si>
    <t>BIP</t>
  </si>
  <si>
    <t>diff</t>
  </si>
  <si>
    <t>für Umsch. verfügb.</t>
  </si>
  <si>
    <t>Gesamt Mobilität</t>
  </si>
  <si>
    <t>Gesamt lt. Bericht</t>
  </si>
  <si>
    <t>Saldo Umschichtungen</t>
  </si>
  <si>
    <t>nach Umschichtung</t>
  </si>
  <si>
    <t>Bitte füllen Sie das Tabellenblatt Ausdruck 3 aus.</t>
  </si>
  <si>
    <t>--&gt; Ausdruck 3</t>
  </si>
  <si>
    <t>9.)</t>
  </si>
  <si>
    <t xml:space="preserve">8.) </t>
  </si>
  <si>
    <t xml:space="preserve">10.) </t>
  </si>
  <si>
    <t>A  WIEN15-K001</t>
  </si>
  <si>
    <t>A  SALZBUR03</t>
  </si>
  <si>
    <t>Aufwendungen aus OS Mittel (Mobilität) bereits ausbezahlt</t>
  </si>
  <si>
    <t>FP</t>
  </si>
  <si>
    <t>CFP</t>
  </si>
  <si>
    <t>SMS DUR Tag fin real</t>
  </si>
  <si>
    <t>SMS DUR Tag fin gepl</t>
  </si>
  <si>
    <t xml:space="preserve">SMS DUR Tag zero real </t>
  </si>
  <si>
    <t>SMS DUR Tag zero gepl</t>
  </si>
  <si>
    <t>SMT DUR Tag fin real</t>
  </si>
  <si>
    <t>SMT DUR Tag fin gepl</t>
  </si>
  <si>
    <t xml:space="preserve">SMT DUR Tag zero real </t>
  </si>
  <si>
    <t>SMT DUR Tag zero gepl</t>
  </si>
  <si>
    <t>STA DUR Tag fin real</t>
  </si>
  <si>
    <t>STA DUR Tag fin gepl</t>
  </si>
  <si>
    <t xml:space="preserve">STA DUR Tag zero real </t>
  </si>
  <si>
    <t>STA DUR Tag zero gepl</t>
  </si>
  <si>
    <t>STT DUR Tag fin real</t>
  </si>
  <si>
    <t>STT DUR Tag fin gepl</t>
  </si>
  <si>
    <t xml:space="preserve">STT DUR Tag zero real </t>
  </si>
  <si>
    <t>STT DUR Tag zero gepl</t>
  </si>
  <si>
    <t>Erasmus Code:</t>
  </si>
  <si>
    <t>Titel</t>
  </si>
  <si>
    <t>Anzahl Personen</t>
  </si>
  <si>
    <t>Beantragter Betrag</t>
  </si>
  <si>
    <r>
      <t xml:space="preserve">Antrag </t>
    </r>
    <r>
      <rPr>
        <b/>
        <sz val="14"/>
        <color rgb="FFFF0000"/>
        <rFont val="Calibri"/>
        <family val="2"/>
        <scheme val="minor"/>
      </rPr>
      <t>zusätzlicher</t>
    </r>
    <r>
      <rPr>
        <sz val="14"/>
        <rFont val="Calibri"/>
        <family val="2"/>
        <scheme val="minor"/>
      </rPr>
      <t xml:space="preserve"> BIPS</t>
    </r>
  </si>
  <si>
    <t>Antrag auf zusätzliche Mittel</t>
  </si>
  <si>
    <t>Verzicht auf Mittel</t>
  </si>
  <si>
    <t>Zusatzmittel</t>
  </si>
  <si>
    <t>SMS_m</t>
  </si>
  <si>
    <t>SMT_m</t>
  </si>
  <si>
    <t>PP1</t>
  </si>
  <si>
    <t>PP1_e</t>
  </si>
  <si>
    <t>PP2</t>
  </si>
  <si>
    <t>PP2_e</t>
  </si>
  <si>
    <t>PP3</t>
  </si>
  <si>
    <t>PP3_e</t>
  </si>
  <si>
    <t>PP4</t>
  </si>
  <si>
    <t>PP4_e</t>
  </si>
  <si>
    <t>PP5</t>
  </si>
  <si>
    <t>PP5_e</t>
  </si>
  <si>
    <t>PP6</t>
  </si>
  <si>
    <t>PP6_e</t>
  </si>
  <si>
    <t>PP7</t>
  </si>
  <si>
    <t>PP7_e</t>
  </si>
  <si>
    <t>PP8</t>
  </si>
  <si>
    <t>PP8_e</t>
  </si>
  <si>
    <t>PP9</t>
  </si>
  <si>
    <t>PP9_e</t>
  </si>
  <si>
    <t>PP10</t>
  </si>
  <si>
    <t>PP10_e</t>
  </si>
  <si>
    <t>FP_e</t>
  </si>
  <si>
    <t>CFP_e</t>
  </si>
  <si>
    <t>Saldo_P</t>
  </si>
  <si>
    <t>x</t>
  </si>
  <si>
    <t>Private Pädagogische Hochschule Augustinum</t>
  </si>
  <si>
    <t>FH Kärnten - gemeinnützige Gesellschaft mbH</t>
  </si>
  <si>
    <t xml:space="preserve">     ERASMUS-Code / OID:</t>
  </si>
  <si>
    <t xml:space="preserve">     Vertragsnummer|BM Project number / GZ:</t>
  </si>
  <si>
    <t xml:space="preserve">(Stand per </t>
  </si>
  <si>
    <t>)</t>
  </si>
  <si>
    <t>Anforderung weitere Vorauszahlung</t>
  </si>
  <si>
    <t>(Zahlungen berücksichtigt bis:</t>
  </si>
  <si>
    <t>X</t>
  </si>
  <si>
    <t xml:space="preserve"> </t>
  </si>
  <si>
    <t>Summe Vorauszahlungen</t>
  </si>
  <si>
    <t>Auszahlungen durch die Hochschuleinrichtung</t>
  </si>
  <si>
    <t>Anforderung der Auszahlung i.d.H.v.</t>
  </si>
  <si>
    <t>Bestätigung Gesetzliche/r Vertreter/in der Hochschulinstitution</t>
  </si>
  <si>
    <t>Verzicht</t>
  </si>
  <si>
    <t>Spalte1</t>
  </si>
  <si>
    <t>11)</t>
  </si>
  <si>
    <t>Alternativ zu 6.) - 10.) können erzeugte pdf-Dateien auch mit den jeweiligen qualifizierten elektronischen Signaturen (z.B. Handysignatur) versehen werden.</t>
  </si>
  <si>
    <t>--&gt; BIPs</t>
  </si>
  <si>
    <r>
      <t>Scannen Sie bitte die ausgedruckten,</t>
    </r>
    <r>
      <rPr>
        <b/>
        <sz val="11"/>
        <rFont val="Calibri"/>
        <family val="2"/>
        <scheme val="minor"/>
      </rPr>
      <t xml:space="preserve"> unterschriebenen und abgetempelten</t>
    </r>
    <r>
      <rPr>
        <sz val="11"/>
        <rFont val="Calibri"/>
        <family val="2"/>
        <scheme val="minor"/>
      </rPr>
      <t xml:space="preserve"> Seiten ein.</t>
    </r>
  </si>
  <si>
    <r>
      <t xml:space="preserve">Senden Sie diese Excel-Datei </t>
    </r>
    <r>
      <rPr>
        <b/>
        <sz val="11"/>
        <rFont val="Calibri"/>
        <family val="2"/>
        <scheme val="minor"/>
      </rPr>
      <t>und</t>
    </r>
    <r>
      <rPr>
        <sz val="11"/>
        <rFont val="Calibri"/>
        <family val="2"/>
        <scheme val="minor"/>
      </rPr>
      <t xml:space="preserve"> die Scans (bzw. elektronisch signierten pdf-Dateien) per E-Mail an hochschulbildung@oead.at.</t>
    </r>
  </si>
  <si>
    <t>Ausdruck3 Datum Finanz</t>
  </si>
  <si>
    <t>Ausdruck3 Datum1</t>
  </si>
  <si>
    <t>Ausdruck3 Datum2</t>
  </si>
  <si>
    <t>2. Auszahlung</t>
  </si>
  <si>
    <t>3. Auszahlung</t>
  </si>
  <si>
    <t>4. Auszahlung</t>
  </si>
  <si>
    <t>5. Auszahlung</t>
  </si>
  <si>
    <t>Summe Voraus</t>
  </si>
  <si>
    <t>Z_BIP_Anz_Pers_1</t>
  </si>
  <si>
    <t>Z_BIP_Name_1</t>
  </si>
  <si>
    <t>Z_BIP_EUR_1</t>
  </si>
  <si>
    <t>Z_BIP_Name_2</t>
  </si>
  <si>
    <t>Z_BIP_Anz_Pers_2</t>
  </si>
  <si>
    <t>Z_BIP_EUR_2</t>
  </si>
  <si>
    <t>Z_BIP_Name_3</t>
  </si>
  <si>
    <t>Z_BIP_Anz_Pers_3</t>
  </si>
  <si>
    <t>Z_BIP_EUR_3</t>
  </si>
  <si>
    <t>Z_BIP_Name_4</t>
  </si>
  <si>
    <t>Z_BIP_Anz_Pers_4</t>
  </si>
  <si>
    <t>Z_BIP_EUR_4</t>
  </si>
  <si>
    <t>Z_BIP_Name_5</t>
  </si>
  <si>
    <t>Z_BIP_Anz_Pers_5</t>
  </si>
  <si>
    <t>Z_BIP_EUR_5</t>
  </si>
  <si>
    <t>Z_BIP_Name_6</t>
  </si>
  <si>
    <t>Z_BIP_Anz_Pers_6</t>
  </si>
  <si>
    <t>Z_BIP_EUR_6</t>
  </si>
  <si>
    <t>Z_BIP_Name_7</t>
  </si>
  <si>
    <t>Z_BIP_Anz_Pers_7</t>
  </si>
  <si>
    <t>Z_BIP_EUR_7</t>
  </si>
  <si>
    <t>Z_BIP_Name_8</t>
  </si>
  <si>
    <t>Z_BIP_Anz_Pers_8</t>
  </si>
  <si>
    <t>Z_BIP_EUR_8</t>
  </si>
  <si>
    <t>Z_BIP_Name_9</t>
  </si>
  <si>
    <t>Z_BIP_Anz_Pers_9</t>
  </si>
  <si>
    <t>Z_BIP_EUR_9</t>
  </si>
  <si>
    <t>Z_BIP_Name_10</t>
  </si>
  <si>
    <t>Z_BIP_Anz_Pers_10</t>
  </si>
  <si>
    <t>Z_BIP_EUR_10</t>
  </si>
  <si>
    <t>Z_BIP_Name_11</t>
  </si>
  <si>
    <t>Z_BIP_Anz_Pers_11</t>
  </si>
  <si>
    <t>Z_BIP_EUR_11</t>
  </si>
  <si>
    <t>Z_BIP_Name_12</t>
  </si>
  <si>
    <t>Z_BIP_Anz_Pers_12</t>
  </si>
  <si>
    <t>Z_BIP_EUR_12</t>
  </si>
  <si>
    <t>Z_BIP_Name_13</t>
  </si>
  <si>
    <t>Z_BIP_Anz_Pers_13</t>
  </si>
  <si>
    <t>Z_BIP_EUR_13</t>
  </si>
  <si>
    <t>Z_BIP_Name_14</t>
  </si>
  <si>
    <t>Z_BIP_Anz_Pers_14</t>
  </si>
  <si>
    <t>Z_BIP_EUR_14</t>
  </si>
  <si>
    <t>Z_BIP_Name_15</t>
  </si>
  <si>
    <t>Z_BIP_Anz_Pers_15</t>
  </si>
  <si>
    <t>Z_BIP_EUR_15</t>
  </si>
  <si>
    <t>Z_BIP_Name_16</t>
  </si>
  <si>
    <t>Z_BIP_Anz_Pers_16</t>
  </si>
  <si>
    <t>Z_BIP_EUR_16</t>
  </si>
  <si>
    <t>Z_BIP_Name_17</t>
  </si>
  <si>
    <t>Z_BIP_Anz_Pers_17</t>
  </si>
  <si>
    <t>Z_BIP_EUR_17</t>
  </si>
  <si>
    <t>Z_BIP_Name_18</t>
  </si>
  <si>
    <t>Z_BIP_Anz_Pers_18</t>
  </si>
  <si>
    <t>Z_BIP_EUR_18</t>
  </si>
  <si>
    <t>Z_BIP_Name_19</t>
  </si>
  <si>
    <t>Z_BIP_Anz_Pers_19</t>
  </si>
  <si>
    <t>Z_BIP_EUR_19</t>
  </si>
  <si>
    <t>Z_BIP_Name_20</t>
  </si>
  <si>
    <t>Z_BIP_Anz_Pers_20</t>
  </si>
  <si>
    <t>Z_BIP_EUR_20</t>
  </si>
  <si>
    <t>Brigitte Vasicek</t>
  </si>
  <si>
    <t>Karsten Schulz</t>
  </si>
  <si>
    <t>Fabian Burstein</t>
  </si>
  <si>
    <t>nach InSuPart</t>
  </si>
  <si>
    <t>Inc Sup Part</t>
  </si>
  <si>
    <t>SMS nach InSuPart</t>
  </si>
  <si>
    <t>SMT nach InSuPart</t>
  </si>
  <si>
    <t>STA nach InSuPart</t>
  </si>
  <si>
    <t>STT nach InSuPart</t>
  </si>
  <si>
    <t>OS nach InSuPart</t>
  </si>
  <si>
    <t>InSuPar UM von SMS</t>
  </si>
  <si>
    <t>InSuParUM von SMT</t>
  </si>
  <si>
    <t>InSuPar UM von STA</t>
  </si>
  <si>
    <t>InSuPar UM von STT</t>
  </si>
  <si>
    <t>InSuPar UM von OS</t>
  </si>
  <si>
    <t>InSuPar UM von InSuHei</t>
  </si>
  <si>
    <t>InSuPar UM von BIP</t>
  </si>
  <si>
    <t>Bisherige Zahlungsbewegungen</t>
  </si>
  <si>
    <t>2. Voraus- / Rückzahlung</t>
  </si>
  <si>
    <t>3. Voraus- / Rückzahlung</t>
  </si>
  <si>
    <t>4. Voraus- / Rückzahlung</t>
  </si>
  <si>
    <t>5. Voraus- / Rückzahlung</t>
  </si>
  <si>
    <t>Drucken Sie bitte gegebenenfalls Ausdruck 2 aus (keine Übermittlung notwendig).</t>
  </si>
  <si>
    <t>SMS_t</t>
  </si>
  <si>
    <t>SMT_t</t>
  </si>
  <si>
    <t>Anzahl</t>
  </si>
  <si>
    <t>BIP SUMME</t>
  </si>
  <si>
    <t>SMS_EUR</t>
  </si>
  <si>
    <t>SMT_EUR</t>
  </si>
  <si>
    <t>STA_EUR</t>
  </si>
  <si>
    <t>STT_EUR</t>
  </si>
  <si>
    <t>BIP_15_Mob</t>
  </si>
  <si>
    <t>BIP_15_EUR</t>
  </si>
  <si>
    <t>BIP_16_Mob</t>
  </si>
  <si>
    <t>BIP_16_EUR</t>
  </si>
  <si>
    <t>BIP_17_Mob</t>
  </si>
  <si>
    <t>BIP_17_EUR</t>
  </si>
  <si>
    <t>BIP_18_Mob</t>
  </si>
  <si>
    <t>BIP_18_EUR</t>
  </si>
  <si>
    <t>BIP_19_Mob</t>
  </si>
  <si>
    <t>BIP_19_EUR</t>
  </si>
  <si>
    <t>BIP_20_plus_Mob</t>
  </si>
  <si>
    <t>BIP_20_plus_EUR</t>
  </si>
  <si>
    <t>BIP_Mob</t>
  </si>
  <si>
    <t>BIP_EUR</t>
  </si>
  <si>
    <t>IncS_Part_Mob</t>
  </si>
  <si>
    <t>IncS_Part_EUR</t>
  </si>
  <si>
    <t>IncS_HEI_Mob</t>
  </si>
  <si>
    <t>IncS_HEI_EUR</t>
  </si>
  <si>
    <t>Except_Costs_EUR</t>
  </si>
  <si>
    <t>OS_EUR</t>
  </si>
  <si>
    <t>TOTAL_GRANT</t>
  </si>
  <si>
    <t>GA issued</t>
  </si>
  <si>
    <t>Amendment#</t>
  </si>
  <si>
    <t>Kontrolle EURO GA1</t>
  </si>
  <si>
    <t>Diff22</t>
  </si>
  <si>
    <t>Kontrolle Summe Zahlungen &lt;&gt; Vertrag</t>
  </si>
  <si>
    <t xml:space="preserve">Summe Zahlungen </t>
  </si>
  <si>
    <t xml:space="preserve"> 178.377,77 </t>
  </si>
  <si>
    <t>Saldo Zahlungen inkl aktueller Zahlung</t>
  </si>
  <si>
    <t>Zahlungen_trf</t>
  </si>
  <si>
    <t>nächste Zahlung#</t>
  </si>
  <si>
    <t>nächste Zahlung_€</t>
  </si>
  <si>
    <t>GA nach ZB#</t>
  </si>
  <si>
    <t>Spalte2</t>
  </si>
  <si>
    <t>Spalte12</t>
  </si>
  <si>
    <t>Spalte13</t>
  </si>
  <si>
    <t>Spalte3</t>
  </si>
  <si>
    <t>Spalte4</t>
  </si>
  <si>
    <t>?????</t>
  </si>
  <si>
    <t>2022-1-AT01-KA131-HED-000061639</t>
  </si>
  <si>
    <t>292/002/22</t>
  </si>
  <si>
    <t>2022-1-AT01-KA131-HED-000053110</t>
  </si>
  <si>
    <t>292/003/22</t>
  </si>
  <si>
    <t>2022-1-AT01-KA131-HED-000053470</t>
  </si>
  <si>
    <t>292/004/22</t>
  </si>
  <si>
    <t>2022-1-AT01-KA131-HED-000063750</t>
  </si>
  <si>
    <t>292/005/22</t>
  </si>
  <si>
    <t>2022-1-AT01-KA131-HED-000054010</t>
  </si>
  <si>
    <t>292/006/22</t>
  </si>
  <si>
    <t>2022-1-AT01-KA131-HED-000053670</t>
  </si>
  <si>
    <t>292/007/22</t>
  </si>
  <si>
    <t>2022-1-AT01-KA131-HED-000052231</t>
  </si>
  <si>
    <t>292/008/22</t>
  </si>
  <si>
    <t>2022-1-AT01-KA131-HED-000052722</t>
  </si>
  <si>
    <t>292/009/22</t>
  </si>
  <si>
    <t>2022-1-AT01-KA131-HED-000052815</t>
  </si>
  <si>
    <t>292/010/22</t>
  </si>
  <si>
    <t>2022-1-AT01-KA131-HED-000060761</t>
  </si>
  <si>
    <t>292/011/22</t>
  </si>
  <si>
    <t>2022-1-AT01-KA131-HED-000056462</t>
  </si>
  <si>
    <t>292/012/22</t>
  </si>
  <si>
    <t>2022-1-AT01-KA131-HED-000055473</t>
  </si>
  <si>
    <t>292/013/22</t>
  </si>
  <si>
    <t>2022-1-AT01-KA131-HED-000055392</t>
  </si>
  <si>
    <t>292/014/22</t>
  </si>
  <si>
    <t>2022-1-AT01-KA131-HED-000054409</t>
  </si>
  <si>
    <t>292/015/22</t>
  </si>
  <si>
    <t>2022-1-AT01-KA131-HED-000055694</t>
  </si>
  <si>
    <t>292/016/22</t>
  </si>
  <si>
    <t>2022-1-AT01-KA131-HED-000055390</t>
  </si>
  <si>
    <t>292/017/22</t>
  </si>
  <si>
    <t>2022-1-AT01-KA131-HED-000052582</t>
  </si>
  <si>
    <t>292/018/22</t>
  </si>
  <si>
    <t>2022-1-AT01-KA131-HED-000060385</t>
  </si>
  <si>
    <t>292/019/22</t>
  </si>
  <si>
    <t>2022-1-AT01-KA131-HED-000052357</t>
  </si>
  <si>
    <t>292/020/22</t>
  </si>
  <si>
    <t>xxx</t>
  </si>
  <si>
    <t>XXX</t>
  </si>
  <si>
    <t>2022-1-AT01-KA131-HED-000059368</t>
  </si>
  <si>
    <t>292/021/22</t>
  </si>
  <si>
    <t>2022-1-AT01-KA131-HED-000055533</t>
  </si>
  <si>
    <t>292/022/22</t>
  </si>
  <si>
    <t>2022-1-AT01-KA131-HED-000053585</t>
  </si>
  <si>
    <t>292/023/22</t>
  </si>
  <si>
    <t>2022-1-AT01-KA131-HED-000068210</t>
  </si>
  <si>
    <t>292/024/22</t>
  </si>
  <si>
    <t>2022-1-AT01-KA131-HED-000066184</t>
  </si>
  <si>
    <t>292/025/22</t>
  </si>
  <si>
    <t>2022-1-AT01-KA131-HED-000062733</t>
  </si>
  <si>
    <t>292/026/22</t>
  </si>
  <si>
    <t>2022-1-AT01-KA131-HED-000056815</t>
  </si>
  <si>
    <t>292/027/22</t>
  </si>
  <si>
    <t>2022-1-AT01-KA131-HED-000060898</t>
  </si>
  <si>
    <t>292/028/22</t>
  </si>
  <si>
    <t>2022-1-AT01-KA131-HED-000056921</t>
  </si>
  <si>
    <t>292/029/22</t>
  </si>
  <si>
    <t>2022-1-AT01-KA131-HED-000052584</t>
  </si>
  <si>
    <t>292/030/22</t>
  </si>
  <si>
    <t>2022-1-AT01-KA131-HED-000056128</t>
  </si>
  <si>
    <t>292/031/22</t>
  </si>
  <si>
    <t>2022-1-AT01-KA131-HED-000053455</t>
  </si>
  <si>
    <t>292/032/22</t>
  </si>
  <si>
    <t>2022-1-AT01-KA131-HED-000054532</t>
  </si>
  <si>
    <t>292/033/22</t>
  </si>
  <si>
    <t>2022-1-AT01-KA131-HED-000054683</t>
  </si>
  <si>
    <t>292/034/22</t>
  </si>
  <si>
    <t>2022-1-AT01-KA131-HED-000051685</t>
  </si>
  <si>
    <t>292/035/22</t>
  </si>
  <si>
    <t>2022-1-AT01-KA131-HED-000058519</t>
  </si>
  <si>
    <t>292/036/22</t>
  </si>
  <si>
    <t>2022-1-AT01-KA131-HED-000067624</t>
  </si>
  <si>
    <t>292/037/22</t>
  </si>
  <si>
    <t>2022-1-AT01-KA131-HED-000057567</t>
  </si>
  <si>
    <t>292/038/22</t>
  </si>
  <si>
    <t>2022-1-AT01-KA131-HED-000068231</t>
  </si>
  <si>
    <t>292/039/22</t>
  </si>
  <si>
    <t>2022-1-AT01-KA131-HED-000057628</t>
  </si>
  <si>
    <t>292/040/22</t>
  </si>
  <si>
    <t>2022-1-AT01-KA131-HED-000057497</t>
  </si>
  <si>
    <t>292/041/22</t>
  </si>
  <si>
    <t>2022-1-AT01-KA131-HED-000068433</t>
  </si>
  <si>
    <t>292/042/22</t>
  </si>
  <si>
    <t>2022-1-AT01-KA131-HED-000061062</t>
  </si>
  <si>
    <t>292/043/22</t>
  </si>
  <si>
    <t>2022-1-AT01-KA131-HED-000054765</t>
  </si>
  <si>
    <t>292/044/22</t>
  </si>
  <si>
    <t>2022-1-AT01-KA131-HED-000055586</t>
  </si>
  <si>
    <t>292/045/22</t>
  </si>
  <si>
    <t>2022-1-AT01-KA131-HED-000067780</t>
  </si>
  <si>
    <t>292/046/22</t>
  </si>
  <si>
    <t>2022-1-AT01-KA131-HED-000056677</t>
  </si>
  <si>
    <t>292/047/22</t>
  </si>
  <si>
    <t>2022-1-AT01-KA131-HED-000054566</t>
  </si>
  <si>
    <t>292/048/22</t>
  </si>
  <si>
    <t>2022-1-AT01-KA131-HED-000054748</t>
  </si>
  <si>
    <t>292/049/22</t>
  </si>
  <si>
    <t>2022-1-AT01-KA131-HED-000052693</t>
  </si>
  <si>
    <t>292/050/22</t>
  </si>
  <si>
    <t>2022-1-AT01-KA131-HED-000054045</t>
  </si>
  <si>
    <t>292/051/22</t>
  </si>
  <si>
    <t>2022-1-AT01-KA131-HED-000052558</t>
  </si>
  <si>
    <t>292/052/22</t>
  </si>
  <si>
    <t>2022-1-AT01-KA131-HED-000053191</t>
  </si>
  <si>
    <t>292/053/22</t>
  </si>
  <si>
    <t>2022-1-AT01-KA131-HED-000062719</t>
  </si>
  <si>
    <t>292/054/22</t>
  </si>
  <si>
    <t>2022-1-AT01-KA131-HED-000052845</t>
  </si>
  <si>
    <t>292/055/22</t>
  </si>
  <si>
    <t>2022-1-AT01-KA131-HED-000052625</t>
  </si>
  <si>
    <t>292/056/22</t>
  </si>
  <si>
    <t>2022-1-AT01-KA131-HED-000058669</t>
  </si>
  <si>
    <t>292/057/22</t>
  </si>
  <si>
    <t>2022-1-AT01-KA131-HED-000064224</t>
  </si>
  <si>
    <t>292/058/22</t>
  </si>
  <si>
    <t>2022-1-AT01-KA131-HED-000068112</t>
  </si>
  <si>
    <t>292/059/22</t>
  </si>
  <si>
    <t>2022-1-AT01-KA131-HED-000055013</t>
  </si>
  <si>
    <t>292/060/22</t>
  </si>
  <si>
    <t>2022-1-AT01-KA131-HED-000060267</t>
  </si>
  <si>
    <t>292/061/22</t>
  </si>
  <si>
    <t>2022-1-AT01-KA131-HED-000059347</t>
  </si>
  <si>
    <t>292/062/22</t>
  </si>
  <si>
    <t>2022-1-AT01-KA131-HED-000057621</t>
  </si>
  <si>
    <t>292/063/22</t>
  </si>
  <si>
    <t>2022-1-AT01-KA131-HED-000053764</t>
  </si>
  <si>
    <t>292/064/22</t>
  </si>
  <si>
    <t>2022-1-AT01-KA131-HED-000059989</t>
  </si>
  <si>
    <t>292/065/22</t>
  </si>
  <si>
    <t>2022-1-AT01-KA131-HED-000066308</t>
  </si>
  <si>
    <t>292/066/22</t>
  </si>
  <si>
    <t>2022-1-AT01-KA131-HED-000052819</t>
  </si>
  <si>
    <t>292/067/22</t>
  </si>
  <si>
    <t>2022-1-AT01-KA131-HED-000059573</t>
  </si>
  <si>
    <t>292/068/22</t>
  </si>
  <si>
    <t>2022-1-AT01-KA131-HED-000056836</t>
  </si>
  <si>
    <t>292/069/22</t>
  </si>
  <si>
    <t>2022-1-AT01-KA131-HED-000065979</t>
  </si>
  <si>
    <t>292/070/22</t>
  </si>
  <si>
    <t>2022-1-AT01-KA131-HED-000066143</t>
  </si>
  <si>
    <t>292/071/22</t>
  </si>
  <si>
    <t>A  WIEN77</t>
  </si>
  <si>
    <t>E10042193</t>
  </si>
  <si>
    <t>2022-1-AT01-KA131-HED-000062673</t>
  </si>
  <si>
    <t>292/072/22</t>
  </si>
  <si>
    <t>2022-1-AT01-KA131-HED-000064069</t>
  </si>
  <si>
    <t>292/073/22</t>
  </si>
  <si>
    <t>2022-1-AT01-KA131-HED-000056373</t>
  </si>
  <si>
    <t>292/074/22</t>
  </si>
  <si>
    <t>2022-1-AT01-KA131-HED-000052795</t>
  </si>
  <si>
    <t>292/075/22</t>
  </si>
  <si>
    <t>Jörg-Maria Ortwein</t>
  </si>
  <si>
    <t>Caroline Schober</t>
  </si>
  <si>
    <t>Petra Steinmair-Pösel</t>
  </si>
  <si>
    <t>W. Wolfgang Fleischhacker</t>
  </si>
  <si>
    <t>Jakob Gruchmann-Bernau</t>
  </si>
  <si>
    <t>Thomas A. Henziger</t>
  </si>
  <si>
    <t>Daniela Martinek</t>
  </si>
  <si>
    <t>Peter Granig</t>
  </si>
  <si>
    <t>Johan-Frederik Hartle</t>
  </si>
  <si>
    <t>Johannes MEISSL</t>
  </si>
  <si>
    <t>Evelyn Süss-Stepancik</t>
  </si>
  <si>
    <t>Florian Eckkrammer</t>
  </si>
  <si>
    <t>Mark Kiss</t>
  </si>
  <si>
    <t>Sabine Siegl</t>
  </si>
  <si>
    <t>Andreas Leisner</t>
  </si>
  <si>
    <t>ALT</t>
  </si>
  <si>
    <t>NEU</t>
  </si>
  <si>
    <t>BIP_15_ANZ</t>
  </si>
  <si>
    <t>BIP_16_ANZ</t>
  </si>
  <si>
    <t>BIP_17_ANZ</t>
  </si>
  <si>
    <t>BIP_18_ANZ</t>
  </si>
  <si>
    <t>BIP_19_ANZ</t>
  </si>
  <si>
    <t>BIP_20_plus_ANZ</t>
  </si>
  <si>
    <t>nach InSu HEI</t>
  </si>
  <si>
    <t>BIP 15 mit Mobilitäten</t>
  </si>
  <si>
    <t>BIP 16 mit Mobilitäten</t>
  </si>
  <si>
    <t>BIP 17 mit Mobilitäten</t>
  </si>
  <si>
    <t>BIP 18 mit Mobilitäten</t>
  </si>
  <si>
    <t>BIP 19 mit Mobilitäten</t>
  </si>
  <si>
    <t>BIP mit 20 und mehr Mobilitäten</t>
  </si>
  <si>
    <t>OS Typ</t>
  </si>
  <si>
    <t>Betrag</t>
  </si>
  <si>
    <t>ZB</t>
  </si>
  <si>
    <t>Stichtage</t>
  </si>
  <si>
    <t>OS Mob&lt;100</t>
  </si>
  <si>
    <t>OS Mob&gt;100</t>
  </si>
  <si>
    <t>OS IncS_HEI</t>
  </si>
  <si>
    <t>ACHTUNG: NICHT SORTIEREN</t>
  </si>
  <si>
    <t>BIP 15 Mob</t>
  </si>
  <si>
    <t>BIP 16 Mob</t>
  </si>
  <si>
    <t>BIP 17 Mob</t>
  </si>
  <si>
    <t>BIP 18 Mob</t>
  </si>
  <si>
    <t>BIP 19 Mob</t>
  </si>
  <si>
    <t>BIP 20+ Mob</t>
  </si>
  <si>
    <t>Inc Sup HEI</t>
  </si>
  <si>
    <t>Version</t>
  </si>
  <si>
    <t>#</t>
  </si>
  <si>
    <t>nach InSuHEI</t>
  </si>
  <si>
    <t>Von SMT</t>
  </si>
  <si>
    <t>PP max</t>
  </si>
  <si>
    <t>Anteil der Auszahlungen an erhaltener Vorauszahlung(en)</t>
  </si>
  <si>
    <t>1.  Z W I S C H E N B E R I C H T</t>
  </si>
  <si>
    <t>erhalten</t>
  </si>
  <si>
    <t>Sabine Vogl</t>
  </si>
  <si>
    <t>Raimund Ribitsch</t>
  </si>
  <si>
    <t>Helmut Pfeffer</t>
  </si>
  <si>
    <t>SMS UM nach InSuHei</t>
  </si>
  <si>
    <t>SMT UM nach InSuHei</t>
  </si>
  <si>
    <t>STA UM nach InSuHei</t>
  </si>
  <si>
    <t>STT UM nach InSuHei</t>
  </si>
  <si>
    <t>InSupHEI UM von SMS</t>
  </si>
  <si>
    <t>InSupHEI UM von SMT</t>
  </si>
  <si>
    <t>InSupHEI UM von STA</t>
  </si>
  <si>
    <t>InSupHEI UM von STT</t>
  </si>
  <si>
    <t>InSupHEI von BIP</t>
  </si>
  <si>
    <t>BIP15 MOB real</t>
  </si>
  <si>
    <t>BIP15 MOB gepl</t>
  </si>
  <si>
    <t>BIP15 EURO real</t>
  </si>
  <si>
    <t>BIP15 EURO gepl</t>
  </si>
  <si>
    <t>BIP15 UM nach SMS</t>
  </si>
  <si>
    <t>BIP15 UM nach SMT</t>
  </si>
  <si>
    <t>BIP15 UM nach STA</t>
  </si>
  <si>
    <t>BIP15 UM nach STT</t>
  </si>
  <si>
    <t>BIP15 Anzahl real</t>
  </si>
  <si>
    <t>BIP15 Anzahl gepl</t>
  </si>
  <si>
    <t>BIP15 nach InSuPart</t>
  </si>
  <si>
    <t>BIP15 nach InSuHEI</t>
  </si>
  <si>
    <t>BIP16 Anzahl real</t>
  </si>
  <si>
    <t>BIP16 Anzahl gepl</t>
  </si>
  <si>
    <t>BIP16 MOB real</t>
  </si>
  <si>
    <t>BIP16 MOB gepl</t>
  </si>
  <si>
    <t>BIP16 EURO real</t>
  </si>
  <si>
    <t>BIP16 EURO gepl</t>
  </si>
  <si>
    <t>BIP16 UM nach SMS</t>
  </si>
  <si>
    <t>BIP16 UM nach SMT</t>
  </si>
  <si>
    <t>BIP16 UM nach STA</t>
  </si>
  <si>
    <t>BIP16 UM nach STT</t>
  </si>
  <si>
    <t>BIP16 nach InSuPart</t>
  </si>
  <si>
    <t>BIP16 nach InSuHEI</t>
  </si>
  <si>
    <t>BIP17 Anzahl real</t>
  </si>
  <si>
    <t>BIP17 Anzahl gepl</t>
  </si>
  <si>
    <t>BIP17 MOB real</t>
  </si>
  <si>
    <t>BIP17 MOB gepl</t>
  </si>
  <si>
    <t>BIP17 EURO real</t>
  </si>
  <si>
    <t>BIP17 EURO gepl</t>
  </si>
  <si>
    <t>BIP17 UM nach SMS</t>
  </si>
  <si>
    <t>BIP17 UM nach SMT</t>
  </si>
  <si>
    <t>BIP17 UM nach STA</t>
  </si>
  <si>
    <t>BIP17 UM nach STT</t>
  </si>
  <si>
    <t>BIP17 nach InSuPart</t>
  </si>
  <si>
    <t>BIP17 nach InSuHEI</t>
  </si>
  <si>
    <t>BIP18 Anzahl real</t>
  </si>
  <si>
    <t>BIP18 Anzahl gepl</t>
  </si>
  <si>
    <t>BIP18 MOB real</t>
  </si>
  <si>
    <t>BIP18 MOB gepl</t>
  </si>
  <si>
    <t>BIP18 EURO real</t>
  </si>
  <si>
    <t>BIP18 EURO gepl</t>
  </si>
  <si>
    <t>BIP18 UM nach SMS</t>
  </si>
  <si>
    <t>BIP18 UM nach SMT</t>
  </si>
  <si>
    <t>BIP18 UM nach STA</t>
  </si>
  <si>
    <t>BIP18 UM nach STT</t>
  </si>
  <si>
    <t>BIP18 nach InSuPart</t>
  </si>
  <si>
    <t>BIP18 nach InSuHEI</t>
  </si>
  <si>
    <t>BIP19 Anzahl real</t>
  </si>
  <si>
    <t>BIP19 Anzahl gepl</t>
  </si>
  <si>
    <t>BIP19 MOB real</t>
  </si>
  <si>
    <t>BIP19 MOB gepl</t>
  </si>
  <si>
    <t>BIP19 EURO real</t>
  </si>
  <si>
    <t>BIP19 EURO gepl</t>
  </si>
  <si>
    <t>BIP19 UM nach SMS</t>
  </si>
  <si>
    <t>BIP19 UM nach SMT</t>
  </si>
  <si>
    <t>BIP19 UM nach STA</t>
  </si>
  <si>
    <t>BIP19 UM nach STT</t>
  </si>
  <si>
    <t>BIP19 nach InSuPart</t>
  </si>
  <si>
    <t>BIP19 nach InSuHEI</t>
  </si>
  <si>
    <t>BIP20 plus Anzahl real</t>
  </si>
  <si>
    <t>BIP20 plus Anzahl gepl</t>
  </si>
  <si>
    <t>BIP20 plus MOB real</t>
  </si>
  <si>
    <t>BIP20 plus MOB gepl</t>
  </si>
  <si>
    <t>BIP20 plus EURO real</t>
  </si>
  <si>
    <t>BIP20 plus EURO gepl</t>
  </si>
  <si>
    <t>BIP20 plus UM nach SMS</t>
  </si>
  <si>
    <t>BIP20 plus UM nach SMT</t>
  </si>
  <si>
    <t>BIP20 plus UM nach STA</t>
  </si>
  <si>
    <t>BIP20 plus UM nach STT</t>
  </si>
  <si>
    <t>BIP20 plus nach InSuPart</t>
  </si>
  <si>
    <t>BIP20 plus nach InSuHEI</t>
  </si>
  <si>
    <t>Inc Sup Part ANTRAG Euro</t>
  </si>
  <si>
    <t>Inc Sup HEI ANTRAG EURO</t>
  </si>
  <si>
    <t>BIP Antrag EURO</t>
  </si>
  <si>
    <t>zus BIP ANTRAG EURO</t>
  </si>
  <si>
    <t>zus BIP Antrag ANZAHL</t>
  </si>
  <si>
    <t>Betrag lt. Vereinbarung</t>
  </si>
  <si>
    <t>Auszahlung angefordert</t>
  </si>
  <si>
    <t>IncSup HEI</t>
  </si>
  <si>
    <t>IncSup Part</t>
  </si>
  <si>
    <t>OS Mob</t>
  </si>
  <si>
    <t>Bericht €</t>
  </si>
  <si>
    <t>bei Amendment</t>
  </si>
  <si>
    <t>Incl Sup Part</t>
  </si>
  <si>
    <t>BIP mit 15 Mobilitäten</t>
  </si>
  <si>
    <t>BIP mit 16 Mobilitäten</t>
  </si>
  <si>
    <t>BIP mit 17 Mobilitäten</t>
  </si>
  <si>
    <t>BIP mit 18 Mobilitäten</t>
  </si>
  <si>
    <t>BIP mit 19 Mobilitäten</t>
  </si>
  <si>
    <t>Drucken Sie bitte Ausdruck 3 aus.</t>
  </si>
  <si>
    <r>
      <t xml:space="preserve">Lassen Sie bitte Ausdruck </t>
    </r>
    <r>
      <rPr>
        <b/>
        <sz val="11"/>
        <rFont val="Calibri"/>
        <family val="2"/>
        <scheme val="minor"/>
      </rPr>
      <t>1</t>
    </r>
    <r>
      <rPr>
        <sz val="11"/>
        <rFont val="Calibri"/>
        <family val="2"/>
        <scheme val="minor"/>
      </rPr>
      <t xml:space="preserve"> und Ausdruck </t>
    </r>
    <r>
      <rPr>
        <b/>
        <sz val="11"/>
        <rFont val="Calibri"/>
        <family val="2"/>
        <scheme val="minor"/>
      </rPr>
      <t xml:space="preserve">3 </t>
    </r>
    <r>
      <rPr>
        <sz val="11"/>
        <rFont val="Calibri"/>
        <family val="2"/>
        <scheme val="minor"/>
      </rPr>
      <t>unterschreiben und abstempeln.</t>
    </r>
  </si>
  <si>
    <t xml:space="preserve"> -   </t>
  </si>
  <si>
    <t>Bitte füllen Sie das Tabellenblatt Dateneingabe Mobilitäten aus.</t>
  </si>
  <si>
    <t>Bitte füllen Sie gegbenefalls Tabellenblatt Dateneingabe zusätzliche BIPs aus.</t>
  </si>
  <si>
    <t>Stella Vorarlberg Privathochschule für Musik GmbH</t>
  </si>
  <si>
    <t>Hiermit werden die in diesem Zwischenbericht gemachten Angaben zur Anzahl der Mobilitäten, der Dauer, dem Budget und den ausbezahlten Summen zu den oben angeführten Daten bestätigt.</t>
  </si>
  <si>
    <t>Friedrich Gulda School of Music Wien</t>
  </si>
  <si>
    <t>1.1.2</t>
  </si>
  <si>
    <t>Ben_InRe1-KA131_Call2022_v2022-10-14_frei_mgr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</si>
</sst>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_ ;\-#,##0.00\ "/>
    <numFmt numFmtId="165" formatCode="\(\+#,##0.00\);\(\-#,##0.00\)"/>
    <numFmt numFmtId="166" formatCode="_-* #,##0_-;\-* #,##0_-;_-* &quot;-&quot;??_-;_-@_-"/>
  </numFmts>
  <fonts count="48" x14ac:knownFonts="1">
    <font>
      <sz val="10"/>
      <name val="Arial"/>
    </font>
    <font>
      <sz val="8"/>
      <name val="Arial"/>
      <family val="2"/>
    </font>
    <font>
      <sz val="11"/>
      <color theme="1"/>
      <name val="Calibri"/>
      <family val="2"/>
      <charset val="238"/>
      <scheme val="minor"/>
    </font>
    <font>
      <sz val="10"/>
      <name val="Arial"/>
      <family val="2"/>
    </font>
    <font>
      <b/>
      <sz val="10"/>
      <name val="Arial"/>
      <family val="2"/>
    </font>
    <font>
      <sz val="10"/>
      <name val="Calibri"/>
      <family val="2"/>
      <scheme val="minor"/>
    </font>
    <font>
      <b/>
      <sz val="10"/>
      <name val="Calibri"/>
      <family val="2"/>
      <scheme val="minor"/>
    </font>
    <font>
      <b/>
      <sz val="12"/>
      <name val="Calibri"/>
      <family val="2"/>
      <scheme val="minor"/>
    </font>
    <font>
      <sz val="7"/>
      <name val="Calibri"/>
      <family val="2"/>
      <scheme val="minor"/>
    </font>
    <font>
      <sz val="10"/>
      <name val="Arial"/>
      <family val="2"/>
    </font>
    <font>
      <sz val="11"/>
      <color rgb="FFFF0000"/>
      <name val="Calibri"/>
      <family val="2"/>
      <charset val="238"/>
      <scheme val="minor"/>
    </font>
    <font>
      <sz val="11"/>
      <color theme="1"/>
      <name val="Calibri"/>
      <family val="2"/>
      <scheme val="minor"/>
    </font>
    <font>
      <sz val="8"/>
      <name val="Calibri"/>
      <family val="2"/>
      <scheme val="minor"/>
    </font>
    <font>
      <sz val="9"/>
      <color indexed="81"/>
      <name val="Segoe UI"/>
      <family val="2"/>
    </font>
    <font>
      <b/>
      <sz val="9"/>
      <color indexed="81"/>
      <name val="Segoe UI"/>
      <family val="2"/>
    </font>
    <font>
      <sz val="8"/>
      <name val="Arial"/>
      <family val="2"/>
    </font>
    <font>
      <sz val="6"/>
      <name val="Calibri"/>
      <family val="2"/>
      <scheme val="minor"/>
    </font>
    <font>
      <b/>
      <sz val="14"/>
      <name val="Calibri"/>
      <family val="2"/>
      <scheme val="minor"/>
    </font>
    <font>
      <sz val="11"/>
      <name val="Calibri"/>
      <family val="2"/>
      <scheme val="minor"/>
    </font>
    <font>
      <b/>
      <sz val="11"/>
      <name val="Calibri"/>
      <family val="2"/>
      <scheme val="minor"/>
    </font>
    <font>
      <u/>
      <sz val="10"/>
      <color theme="10"/>
      <name val="Arial"/>
      <family val="2"/>
    </font>
    <font>
      <sz val="10"/>
      <color theme="0" tint="-0.499984740745262"/>
      <name val="Calibri"/>
      <family val="2"/>
      <scheme val="minor"/>
    </font>
    <font>
      <sz val="10"/>
      <color theme="0"/>
      <name val="Calibri"/>
      <family val="2"/>
      <scheme val="minor"/>
    </font>
    <font>
      <u/>
      <sz val="11"/>
      <color theme="10"/>
      <name val="Calibri"/>
      <family val="2"/>
      <scheme val="minor"/>
    </font>
    <font>
      <sz val="9"/>
      <name val="Calibri"/>
      <family val="2"/>
      <scheme val="minor"/>
    </font>
    <font>
      <sz val="10"/>
      <color theme="1" tint="0.34998626667073579"/>
      <name val="Calibri"/>
      <family val="2"/>
      <scheme val="minor"/>
    </font>
    <font>
      <sz val="8"/>
      <color theme="1" tint="0.34998626667073579"/>
      <name val="Calibri"/>
      <family val="2"/>
      <scheme val="minor"/>
    </font>
    <font>
      <b/>
      <sz val="9"/>
      <color theme="1" tint="0.34998626667073579"/>
      <name val="Calibri"/>
      <family val="2"/>
      <scheme val="minor"/>
    </font>
    <font>
      <u/>
      <sz val="10"/>
      <name val="Calibri"/>
      <family val="2"/>
      <scheme val="minor"/>
    </font>
    <font>
      <b/>
      <sz val="9"/>
      <name val="Calibri"/>
      <family val="2"/>
      <scheme val="minor"/>
    </font>
    <font>
      <u/>
      <sz val="9"/>
      <color theme="10"/>
      <name val="Calibri"/>
      <family val="2"/>
      <scheme val="minor"/>
    </font>
    <font>
      <sz val="14"/>
      <name val="Calibri"/>
      <family val="2"/>
      <scheme val="minor"/>
    </font>
    <font>
      <b/>
      <sz val="14"/>
      <color rgb="FFFF0000"/>
      <name val="Calibri"/>
      <family val="2"/>
      <scheme val="minor"/>
    </font>
    <font>
      <sz val="10"/>
      <color theme="1"/>
      <name val="Calibri"/>
      <family val="2"/>
      <scheme val="minor"/>
    </font>
    <font>
      <b/>
      <sz val="11"/>
      <color theme="1"/>
      <name val="Calibri"/>
      <family val="2"/>
      <charset val="238"/>
      <scheme val="minor"/>
    </font>
    <font>
      <b/>
      <sz val="11"/>
      <name val="Calibri"/>
      <family val="2"/>
      <charset val="238"/>
      <scheme val="minor"/>
    </font>
    <font>
      <b/>
      <sz val="11"/>
      <color theme="0"/>
      <name val="Calibri"/>
      <family val="2"/>
      <charset val="238"/>
      <scheme val="minor"/>
    </font>
    <font>
      <sz val="11"/>
      <color rgb="FFFFFF00"/>
      <name val="Calibri"/>
      <family val="2"/>
      <charset val="238"/>
      <scheme val="minor"/>
    </font>
    <font>
      <sz val="11"/>
      <color rgb="FFFFFF00"/>
      <name val="Calibri"/>
      <family val="2"/>
      <scheme val="minor"/>
    </font>
    <font>
      <b/>
      <sz val="8"/>
      <name val="Calibri"/>
      <family val="2"/>
      <scheme val="minor"/>
    </font>
    <font>
      <sz val="8"/>
      <name val="Arial"/>
      <family val="2"/>
    </font>
    <font>
      <b/>
      <sz val="11"/>
      <color rgb="FF92D050"/>
      <name val="Calibri"/>
      <family val="2"/>
      <charset val="238"/>
      <scheme val="minor"/>
    </font>
    <font>
      <sz val="10"/>
      <color rgb="FFFFFF00"/>
      <name val="Arial"/>
      <family val="2"/>
    </font>
    <font>
      <b/>
      <sz val="8"/>
      <color rgb="FFFF0000"/>
      <name val="Arial"/>
      <family val="2"/>
    </font>
    <font>
      <sz val="10"/>
      <color theme="0" tint="-0.249977111117893"/>
      <name val="Calibri"/>
      <family val="2"/>
      <scheme val="minor"/>
    </font>
    <font>
      <b/>
      <sz val="9"/>
      <color theme="0"/>
      <name val="Calibri"/>
      <family val="2"/>
      <scheme val="minor"/>
    </font>
    <font>
      <b/>
      <sz val="10"/>
      <color theme="0"/>
      <name val="Calibri"/>
      <family val="2"/>
      <scheme val="minor"/>
    </font>
    <font>
      <sz val="9"/>
      <color theme="0"/>
      <name val="Calibri"/>
      <family val="2"/>
      <scheme val="minor"/>
    </font>
  </fonts>
  <fills count="1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4" tint="0.79998168889431442"/>
        <bgColor theme="4" tint="0.79998168889431442"/>
      </patternFill>
    </fill>
    <fill>
      <patternFill patternType="solid">
        <fgColor rgb="FF00AFEC"/>
        <bgColor indexed="64"/>
      </patternFill>
    </fill>
    <fill>
      <patternFill patternType="solid">
        <fgColor theme="4"/>
        <bgColor theme="4"/>
      </patternFill>
    </fill>
    <fill>
      <patternFill patternType="solid">
        <fgColor theme="5" tint="0.59999389629810485"/>
        <bgColor indexed="64"/>
      </patternFill>
    </fill>
    <fill>
      <patternFill patternType="solid">
        <fgColor rgb="FFFFC000"/>
        <bgColor indexed="64"/>
      </patternFill>
    </fill>
    <fill>
      <patternFill patternType="solid">
        <fgColor rgb="FFFF0000"/>
        <bgColor indexed="64"/>
      </patternFill>
    </fill>
    <fill>
      <patternFill patternType="solid">
        <fgColor rgb="FFFF0000"/>
        <bgColor theme="4"/>
      </patternFill>
    </fill>
    <fill>
      <patternFill patternType="solid">
        <fgColor rgb="FFFF0000"/>
        <bgColor theme="4" tint="0.79998168889431442"/>
      </patternFill>
    </fill>
    <fill>
      <patternFill patternType="solid">
        <fgColor theme="9" tint="0.79998168889431442"/>
        <bgColor indexed="64"/>
      </patternFill>
    </fill>
  </fills>
  <borders count="73">
    <border>
      <left/>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double">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style="medium">
        <color indexed="64"/>
      </left>
      <right style="medium">
        <color indexed="64"/>
      </right>
      <top style="mediumDashed">
        <color indexed="64"/>
      </top>
      <bottom/>
      <diagonal/>
    </border>
    <border>
      <left/>
      <right style="mediumDashed">
        <color indexed="64"/>
      </right>
      <top style="mediumDashed">
        <color indexed="64"/>
      </top>
      <bottom/>
      <diagonal/>
    </border>
    <border>
      <left style="mediumDashed">
        <color indexed="64"/>
      </left>
      <right/>
      <top/>
      <bottom style="mediumDashed">
        <color indexed="64"/>
      </bottom>
      <diagonal/>
    </border>
    <border>
      <left/>
      <right/>
      <top/>
      <bottom style="mediumDashed">
        <color indexed="64"/>
      </bottom>
      <diagonal/>
    </border>
    <border>
      <left style="medium">
        <color indexed="64"/>
      </left>
      <right style="medium">
        <color indexed="64"/>
      </right>
      <top/>
      <bottom style="mediumDashed">
        <color indexed="64"/>
      </bottom>
      <diagonal/>
    </border>
    <border>
      <left/>
      <right style="mediumDashed">
        <color indexed="64"/>
      </right>
      <top/>
      <bottom style="mediumDashed">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theme="4" tint="0.39997558519241921"/>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mediumDashed">
        <color indexed="64"/>
      </left>
      <right/>
      <top/>
      <bottom/>
      <diagonal/>
    </border>
    <border>
      <left/>
      <right style="mediumDashed">
        <color indexed="64"/>
      </right>
      <top/>
      <bottom/>
      <diagonal/>
    </border>
    <border>
      <left style="medium">
        <color indexed="64"/>
      </left>
      <right style="mediumDashed">
        <color indexed="64"/>
      </right>
      <top style="mediumDashed">
        <color indexed="64"/>
      </top>
      <bottom/>
      <diagonal/>
    </border>
    <border>
      <left style="medium">
        <color indexed="64"/>
      </left>
      <right style="mediumDashed">
        <color indexed="64"/>
      </right>
      <top/>
      <bottom/>
      <diagonal/>
    </border>
    <border>
      <left style="medium">
        <color indexed="64"/>
      </left>
      <right style="mediumDashed">
        <color indexed="64"/>
      </right>
      <top/>
      <bottom style="mediumDashed">
        <color indexed="64"/>
      </bottom>
      <diagonal/>
    </border>
  </borders>
  <cellStyleXfs count="7">
    <xf numFmtId="0" fontId="0" fillId="0" borderId="0"/>
    <xf numFmtId="0" fontId="2" fillId="0" borderId="0"/>
    <xf numFmtId="43" fontId="9" fillId="0" borderId="0" applyFont="0" applyFill="0" applyBorder="0" applyAlignment="0" applyProtection="0"/>
    <xf numFmtId="43" fontId="2" fillId="0" borderId="0" applyFont="0" applyFill="0" applyBorder="0" applyAlignment="0" applyProtection="0"/>
    <xf numFmtId="0" fontId="20"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757">
    <xf numFmtId="0" fontId="0" fillId="0" borderId="0" xfId="0"/>
    <xf numFmtId="0" fontId="5" fillId="0" borderId="0" xfId="0" applyFont="1" applyFill="1" applyBorder="1"/>
    <xf numFmtId="0" fontId="5" fillId="0" borderId="0" xfId="0" applyFont="1" applyProtection="1"/>
    <xf numFmtId="0" fontId="6" fillId="2" borderId="0" xfId="0" applyFont="1" applyFill="1" applyAlignment="1" applyProtection="1">
      <alignment horizontal="right" vertical="center"/>
    </xf>
    <xf numFmtId="0" fontId="6" fillId="0"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1" fontId="7" fillId="0" borderId="0"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4" fontId="5" fillId="0" borderId="0" xfId="0" applyNumberFormat="1" applyFont="1" applyFill="1" applyBorder="1"/>
    <xf numFmtId="0" fontId="5" fillId="0" borderId="18" xfId="0" applyFont="1" applyFill="1" applyBorder="1" applyAlignment="1" applyProtection="1"/>
    <xf numFmtId="0" fontId="5" fillId="0" borderId="4" xfId="0" applyFont="1" applyFill="1" applyBorder="1" applyProtection="1"/>
    <xf numFmtId="0" fontId="5" fillId="0" borderId="19" xfId="0" applyFont="1" applyFill="1" applyBorder="1" applyProtection="1"/>
    <xf numFmtId="0" fontId="5" fillId="0" borderId="0" xfId="0" applyFont="1" applyFill="1" applyBorder="1" applyProtection="1"/>
    <xf numFmtId="0" fontId="5" fillId="0" borderId="21" xfId="0" applyFont="1" applyFill="1" applyBorder="1" applyAlignment="1" applyProtection="1"/>
    <xf numFmtId="0" fontId="5" fillId="0" borderId="0" xfId="0" applyFont="1" applyFill="1" applyBorder="1" applyAlignment="1" applyProtection="1"/>
    <xf numFmtId="0" fontId="5" fillId="0" borderId="5" xfId="0" applyFont="1" applyFill="1" applyBorder="1" applyAlignment="1" applyProtection="1"/>
    <xf numFmtId="0" fontId="6" fillId="0" borderId="0" xfId="0" applyFont="1" applyFill="1" applyBorder="1" applyAlignment="1" applyProtection="1">
      <alignment horizontal="left" vertical="center"/>
    </xf>
    <xf numFmtId="0" fontId="8" fillId="0" borderId="0" xfId="0" applyNumberFormat="1" applyFont="1" applyFill="1" applyBorder="1" applyAlignment="1" applyProtection="1">
      <alignment horizontal="right" vertical="center" wrapText="1"/>
    </xf>
    <xf numFmtId="4" fontId="6"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xf>
    <xf numFmtId="0" fontId="2" fillId="0" borderId="0" xfId="1"/>
    <xf numFmtId="0" fontId="10" fillId="0" borderId="0" xfId="1" applyFont="1"/>
    <xf numFmtId="0" fontId="5" fillId="0" borderId="0" xfId="0" applyFont="1"/>
    <xf numFmtId="0" fontId="2" fillId="0" borderId="0" xfId="1" applyFill="1"/>
    <xf numFmtId="0" fontId="2" fillId="0" borderId="0" xfId="1" applyNumberFormat="1" applyFill="1"/>
    <xf numFmtId="0" fontId="10" fillId="0" borderId="0" xfId="1" applyNumberFormat="1" applyFont="1"/>
    <xf numFmtId="0" fontId="2" fillId="0" borderId="0" xfId="1" applyNumberFormat="1"/>
    <xf numFmtId="0" fontId="7" fillId="0" borderId="0" xfId="0" applyFont="1" applyFill="1" applyBorder="1" applyAlignment="1" applyProtection="1">
      <alignment vertical="top"/>
    </xf>
    <xf numFmtId="0" fontId="6" fillId="0" borderId="0" xfId="0" applyFont="1" applyFill="1" applyBorder="1" applyAlignment="1" applyProtection="1">
      <alignment horizontal="center" vertical="center"/>
    </xf>
    <xf numFmtId="0" fontId="3" fillId="0" borderId="0" xfId="0" applyFont="1"/>
    <xf numFmtId="0" fontId="5" fillId="0" borderId="0" xfId="0" applyFont="1" applyAlignment="1">
      <alignment wrapText="1"/>
    </xf>
    <xf numFmtId="4" fontId="5" fillId="0" borderId="0" xfId="0" applyNumberFormat="1" applyFont="1"/>
    <xf numFmtId="0" fontId="4" fillId="0" borderId="0" xfId="0" applyFont="1"/>
    <xf numFmtId="43" fontId="0" fillId="0" borderId="0" xfId="2" applyFont="1"/>
    <xf numFmtId="4" fontId="0" fillId="0" borderId="0" xfId="0" applyNumberFormat="1"/>
    <xf numFmtId="2" fontId="4" fillId="0" borderId="0" xfId="0" applyNumberFormat="1" applyFont="1"/>
    <xf numFmtId="0" fontId="2" fillId="0" borderId="0" xfId="0" applyNumberFormat="1" applyFont="1" applyFill="1" applyBorder="1" applyAlignment="1" applyProtection="1"/>
    <xf numFmtId="0" fontId="5" fillId="3" borderId="0" xfId="0" applyFont="1" applyFill="1" applyBorder="1"/>
    <xf numFmtId="4" fontId="5" fillId="3" borderId="0" xfId="0" applyNumberFormat="1" applyFont="1" applyFill="1" applyBorder="1"/>
    <xf numFmtId="0" fontId="5" fillId="0" borderId="0" xfId="0" applyFont="1" applyFill="1"/>
    <xf numFmtId="4" fontId="5" fillId="0" borderId="0" xfId="0" applyNumberFormat="1" applyFont="1" applyFill="1"/>
    <xf numFmtId="0" fontId="5" fillId="0" borderId="0" xfId="0" applyFont="1" applyAlignment="1">
      <alignment horizontal="right"/>
    </xf>
    <xf numFmtId="0" fontId="5" fillId="5" borderId="0" xfId="0" applyFont="1" applyFill="1" applyBorder="1"/>
    <xf numFmtId="0" fontId="5" fillId="0" borderId="12" xfId="0" applyFont="1" applyBorder="1"/>
    <xf numFmtId="0" fontId="5" fillId="3" borderId="12" xfId="0" applyFont="1" applyFill="1" applyBorder="1"/>
    <xf numFmtId="0" fontId="5" fillId="0" borderId="12" xfId="0" applyFont="1" applyBorder="1" applyAlignment="1">
      <alignment horizontal="right"/>
    </xf>
    <xf numFmtId="0" fontId="5" fillId="0" borderId="23" xfId="0" applyFont="1" applyBorder="1"/>
    <xf numFmtId="4" fontId="5" fillId="3" borderId="23" xfId="0" applyNumberFormat="1" applyFont="1" applyFill="1" applyBorder="1"/>
    <xf numFmtId="4" fontId="5" fillId="5" borderId="23" xfId="0" applyNumberFormat="1" applyFont="1" applyFill="1" applyBorder="1"/>
    <xf numFmtId="0" fontId="5" fillId="0" borderId="23" xfId="0" applyFont="1" applyBorder="1" applyAlignment="1">
      <alignment horizontal="right"/>
    </xf>
    <xf numFmtId="0" fontId="5" fillId="0" borderId="0" xfId="0" applyFont="1" applyFill="1" applyAlignment="1">
      <alignment horizontal="right"/>
    </xf>
    <xf numFmtId="0" fontId="6" fillId="0" borderId="0"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5" fillId="0" borderId="0" xfId="0" applyFont="1" applyBorder="1" applyProtection="1"/>
    <xf numFmtId="0" fontId="5" fillId="0" borderId="0" xfId="0" applyFont="1" applyFill="1" applyBorder="1" applyAlignment="1" applyProtection="1">
      <alignment vertical="center"/>
    </xf>
    <xf numFmtId="0" fontId="5" fillId="0" borderId="0" xfId="0" quotePrefix="1" applyFont="1" applyFill="1" applyBorder="1" applyAlignment="1" applyProtection="1">
      <alignment vertical="center"/>
    </xf>
    <xf numFmtId="4" fontId="6" fillId="0" borderId="0" xfId="0" applyNumberFormat="1" applyFont="1" applyFill="1" applyBorder="1" applyAlignment="1" applyProtection="1">
      <alignment horizontal="right" vertical="center" wrapText="1"/>
      <protection locked="0"/>
    </xf>
    <xf numFmtId="4" fontId="5" fillId="0" borderId="0" xfId="0" applyNumberFormat="1" applyFont="1" applyFill="1" applyBorder="1" applyAlignment="1" applyProtection="1">
      <alignment vertical="center"/>
    </xf>
    <xf numFmtId="0" fontId="7" fillId="0" borderId="0" xfId="0" applyFont="1" applyFill="1" applyBorder="1" applyAlignment="1" applyProtection="1">
      <alignment vertical="center" wrapText="1"/>
    </xf>
    <xf numFmtId="0" fontId="5" fillId="0" borderId="0" xfId="0" applyFont="1" applyBorder="1"/>
    <xf numFmtId="0" fontId="5" fillId="0" borderId="0" xfId="0" applyFont="1" applyBorder="1" applyAlignment="1">
      <alignment horizontal="right"/>
    </xf>
    <xf numFmtId="0" fontId="5" fillId="0" borderId="13" xfId="0" applyFont="1" applyBorder="1"/>
    <xf numFmtId="0" fontId="5" fillId="0" borderId="12" xfId="0" applyFont="1" applyBorder="1" applyAlignment="1">
      <alignment wrapText="1"/>
    </xf>
    <xf numFmtId="0" fontId="5" fillId="0" borderId="4" xfId="0" applyFont="1" applyBorder="1"/>
    <xf numFmtId="0" fontId="5" fillId="5" borderId="5" xfId="0" applyFont="1" applyFill="1" applyBorder="1"/>
    <xf numFmtId="0" fontId="5" fillId="0" borderId="29" xfId="0" applyFont="1" applyBorder="1" applyAlignment="1">
      <alignment wrapText="1"/>
    </xf>
    <xf numFmtId="0" fontId="5" fillId="0" borderId="31" xfId="0" applyFont="1" applyBorder="1" applyAlignment="1">
      <alignment wrapText="1"/>
    </xf>
    <xf numFmtId="0" fontId="5" fillId="0" borderId="32" xfId="0" applyFont="1" applyBorder="1"/>
    <xf numFmtId="0" fontId="5" fillId="0" borderId="33" xfId="0" applyFont="1" applyBorder="1"/>
    <xf numFmtId="4" fontId="5" fillId="0" borderId="0" xfId="0" applyNumberFormat="1" applyFont="1" applyBorder="1"/>
    <xf numFmtId="4" fontId="5" fillId="0" borderId="33" xfId="0" applyNumberFormat="1" applyFont="1" applyBorder="1"/>
    <xf numFmtId="0" fontId="5" fillId="0" borderId="34" xfId="0" applyFont="1" applyBorder="1"/>
    <xf numFmtId="0" fontId="5" fillId="0" borderId="35" xfId="0" applyFont="1" applyBorder="1"/>
    <xf numFmtId="0" fontId="5" fillId="0" borderId="35" xfId="0" applyFont="1" applyBorder="1" applyAlignment="1">
      <alignment horizontal="right"/>
    </xf>
    <xf numFmtId="4" fontId="5" fillId="0" borderId="35" xfId="0" applyNumberFormat="1" applyFont="1" applyBorder="1"/>
    <xf numFmtId="0" fontId="5" fillId="0" borderId="36" xfId="0" applyFont="1" applyBorder="1"/>
    <xf numFmtId="0" fontId="5" fillId="0" borderId="29" xfId="0" applyFont="1" applyBorder="1"/>
    <xf numFmtId="0" fontId="5" fillId="0" borderId="30" xfId="0" applyFont="1" applyBorder="1"/>
    <xf numFmtId="0" fontId="5" fillId="0" borderId="30" xfId="0" applyFont="1" applyBorder="1" applyAlignment="1">
      <alignment horizontal="right"/>
    </xf>
    <xf numFmtId="0" fontId="5" fillId="0" borderId="31" xfId="0" applyFont="1" applyBorder="1"/>
    <xf numFmtId="0" fontId="5" fillId="0" borderId="32" xfId="0" applyFont="1" applyFill="1" applyBorder="1"/>
    <xf numFmtId="0" fontId="5" fillId="0" borderId="33" xfId="0" applyFont="1" applyFill="1" applyBorder="1"/>
    <xf numFmtId="0" fontId="5" fillId="0" borderId="0" xfId="0" applyFont="1" applyFill="1" applyBorder="1" applyAlignment="1">
      <alignment horizontal="right"/>
    </xf>
    <xf numFmtId="0" fontId="5" fillId="0" borderId="35" xfId="0" applyFont="1" applyFill="1" applyBorder="1"/>
    <xf numFmtId="0" fontId="5" fillId="0" borderId="35" xfId="0" applyFont="1" applyFill="1" applyBorder="1" applyAlignment="1">
      <alignment horizontal="right"/>
    </xf>
    <xf numFmtId="4" fontId="5" fillId="0" borderId="35" xfId="0" applyNumberFormat="1" applyFont="1" applyFill="1" applyBorder="1"/>
    <xf numFmtId="3" fontId="5" fillId="3" borderId="12" xfId="0" applyNumberFormat="1" applyFont="1" applyFill="1" applyBorder="1"/>
    <xf numFmtId="0" fontId="5" fillId="3" borderId="13" xfId="0" applyFont="1" applyFill="1" applyBorder="1"/>
    <xf numFmtId="0" fontId="5" fillId="0" borderId="23" xfId="0" applyFont="1" applyFill="1" applyBorder="1" applyAlignment="1">
      <alignment horizontal="right"/>
    </xf>
    <xf numFmtId="0" fontId="5" fillId="0" borderId="12" xfId="0" applyNumberFormat="1" applyFont="1" applyFill="1" applyBorder="1"/>
    <xf numFmtId="0" fontId="16" fillId="0" borderId="12" xfId="0" applyFont="1" applyBorder="1" applyAlignment="1">
      <alignment horizontal="right"/>
    </xf>
    <xf numFmtId="0" fontId="5" fillId="0" borderId="30" xfId="0" applyFont="1" applyFill="1" applyBorder="1"/>
    <xf numFmtId="0" fontId="5" fillId="0" borderId="30" xfId="0" applyFont="1" applyFill="1" applyBorder="1" applyAlignment="1">
      <alignment horizontal="right"/>
    </xf>
    <xf numFmtId="4" fontId="5" fillId="0" borderId="30" xfId="0" applyNumberFormat="1" applyFont="1" applyFill="1" applyBorder="1"/>
    <xf numFmtId="4" fontId="5" fillId="0" borderId="30" xfId="0" applyNumberFormat="1" applyFont="1" applyBorder="1"/>
    <xf numFmtId="0" fontId="5" fillId="0" borderId="30" xfId="0" applyNumberFormat="1" applyFont="1" applyFill="1" applyBorder="1"/>
    <xf numFmtId="0" fontId="5" fillId="3" borderId="12" xfId="0" applyFont="1" applyFill="1" applyBorder="1" applyAlignment="1">
      <alignment wrapText="1"/>
    </xf>
    <xf numFmtId="0" fontId="12" fillId="0" borderId="0" xfId="0" applyFont="1" applyBorder="1" applyAlignment="1">
      <alignment horizontal="right"/>
    </xf>
    <xf numFmtId="0" fontId="12" fillId="0" borderId="12" xfId="0" applyFont="1" applyBorder="1" applyAlignment="1">
      <alignment horizontal="right"/>
    </xf>
    <xf numFmtId="4" fontId="8" fillId="0" borderId="0" xfId="0" applyNumberFormat="1" applyFont="1" applyFill="1" applyBorder="1" applyAlignment="1" applyProtection="1">
      <alignment vertical="center" wrapText="1"/>
    </xf>
    <xf numFmtId="0" fontId="5" fillId="0" borderId="12" xfId="0" applyFont="1" applyBorder="1" applyProtection="1"/>
    <xf numFmtId="4" fontId="8" fillId="0" borderId="5" xfId="0" applyNumberFormat="1" applyFont="1" applyFill="1" applyBorder="1" applyAlignment="1" applyProtection="1">
      <alignment vertical="center" wrapText="1"/>
    </xf>
    <xf numFmtId="0" fontId="6" fillId="0" borderId="6" xfId="0" applyFont="1" applyFill="1" applyBorder="1" applyAlignment="1" applyProtection="1">
      <alignment vertical="center"/>
    </xf>
    <xf numFmtId="4" fontId="6" fillId="0" borderId="6" xfId="0" applyNumberFormat="1" applyFont="1" applyFill="1" applyBorder="1" applyAlignment="1" applyProtection="1">
      <alignment vertical="center"/>
    </xf>
    <xf numFmtId="4" fontId="6" fillId="0" borderId="27" xfId="0" applyNumberFormat="1" applyFont="1" applyFill="1" applyBorder="1" applyAlignment="1" applyProtection="1">
      <alignment vertical="center"/>
    </xf>
    <xf numFmtId="4" fontId="6"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left"/>
    </xf>
    <xf numFmtId="0" fontId="5" fillId="0" borderId="43" xfId="0" applyFont="1" applyFill="1" applyBorder="1" applyAlignment="1" applyProtection="1"/>
    <xf numFmtId="0" fontId="5" fillId="0" borderId="1" xfId="0" applyFont="1" applyFill="1" applyBorder="1" applyAlignment="1" applyProtection="1"/>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center"/>
    </xf>
    <xf numFmtId="0" fontId="5" fillId="0" borderId="5" xfId="0" applyFont="1" applyFill="1" applyBorder="1" applyProtection="1"/>
    <xf numFmtId="0" fontId="7" fillId="0" borderId="0" xfId="0" applyFont="1" applyFill="1" applyBorder="1" applyAlignment="1" applyProtection="1">
      <alignment vertical="center"/>
    </xf>
    <xf numFmtId="0" fontId="18" fillId="0" borderId="0" xfId="0" applyFont="1"/>
    <xf numFmtId="4" fontId="21" fillId="5" borderId="23" xfId="0" applyNumberFormat="1" applyFont="1" applyFill="1" applyBorder="1"/>
    <xf numFmtId="0" fontId="5" fillId="0" borderId="0" xfId="0" applyFont="1" applyFill="1" applyBorder="1" applyAlignment="1" applyProtection="1">
      <alignment horizontal="center" vertical="center"/>
      <protection locked="0"/>
    </xf>
    <xf numFmtId="4" fontId="6" fillId="0" borderId="21" xfId="0" applyNumberFormat="1" applyFont="1" applyFill="1" applyBorder="1" applyAlignment="1" applyProtection="1">
      <alignment vertical="center"/>
    </xf>
    <xf numFmtId="4" fontId="6" fillId="0" borderId="22" xfId="0" applyNumberFormat="1" applyFont="1" applyFill="1" applyBorder="1" applyAlignment="1" applyProtection="1">
      <alignment vertical="center"/>
    </xf>
    <xf numFmtId="4" fontId="6" fillId="0" borderId="23" xfId="0" applyNumberFormat="1" applyFont="1" applyFill="1" applyBorder="1" applyAlignment="1" applyProtection="1">
      <alignment vertical="center"/>
    </xf>
    <xf numFmtId="0" fontId="8" fillId="0" borderId="23" xfId="0" applyNumberFormat="1" applyFont="1" applyFill="1" applyBorder="1" applyAlignment="1" applyProtection="1">
      <alignment vertical="center" wrapText="1"/>
    </xf>
    <xf numFmtId="0" fontId="8" fillId="0" borderId="26" xfId="0" applyNumberFormat="1" applyFont="1" applyFill="1" applyBorder="1" applyAlignment="1" applyProtection="1">
      <alignment vertical="center" wrapText="1"/>
    </xf>
    <xf numFmtId="0" fontId="6" fillId="0" borderId="26" xfId="0" applyFont="1" applyFill="1" applyBorder="1" applyAlignment="1" applyProtection="1">
      <alignment horizontal="left" vertical="center"/>
    </xf>
    <xf numFmtId="0" fontId="5" fillId="0" borderId="0" xfId="0" applyFont="1" applyAlignment="1">
      <alignment horizontal="center" vertical="center" wrapText="1"/>
    </xf>
    <xf numFmtId="43" fontId="5" fillId="0" borderId="0" xfId="0" applyNumberFormat="1" applyFont="1"/>
    <xf numFmtId="0" fontId="23" fillId="0" borderId="0" xfId="4" quotePrefix="1" applyFont="1" applyFill="1" applyBorder="1" applyAlignment="1" applyProtection="1">
      <alignment vertical="center" wrapText="1"/>
    </xf>
    <xf numFmtId="0" fontId="5" fillId="4" borderId="16" xfId="0" applyFont="1" applyFill="1" applyBorder="1" applyProtection="1">
      <protection locked="0"/>
    </xf>
    <xf numFmtId="0" fontId="5" fillId="4" borderId="6" xfId="0" applyFont="1" applyFill="1" applyBorder="1" applyProtection="1">
      <protection locked="0"/>
    </xf>
    <xf numFmtId="4" fontId="5" fillId="4" borderId="17" xfId="0" applyNumberFormat="1" applyFont="1" applyFill="1" applyBorder="1" applyProtection="1">
      <protection locked="0"/>
    </xf>
    <xf numFmtId="4" fontId="5" fillId="4" borderId="6" xfId="0" applyNumberFormat="1" applyFont="1" applyFill="1" applyBorder="1" applyProtection="1">
      <protection locked="0"/>
    </xf>
    <xf numFmtId="0" fontId="22" fillId="0" borderId="37" xfId="0" applyFont="1" applyFill="1" applyBorder="1" applyProtection="1">
      <protection locked="0"/>
    </xf>
    <xf numFmtId="4" fontId="22" fillId="0" borderId="38" xfId="0" applyNumberFormat="1" applyFont="1" applyFill="1" applyBorder="1" applyProtection="1">
      <protection locked="0"/>
    </xf>
    <xf numFmtId="4" fontId="22" fillId="0" borderId="6" xfId="0" applyNumberFormat="1" applyFont="1" applyFill="1" applyBorder="1" applyProtection="1">
      <protection locked="0"/>
    </xf>
    <xf numFmtId="0" fontId="5" fillId="0" borderId="16" xfId="0" applyFont="1" applyFill="1" applyBorder="1" applyProtection="1"/>
    <xf numFmtId="4" fontId="5" fillId="0" borderId="6" xfId="0" applyNumberFormat="1" applyFont="1" applyFill="1" applyBorder="1" applyProtection="1"/>
    <xf numFmtId="4" fontId="24" fillId="0" borderId="0" xfId="0" applyNumberFormat="1" applyFont="1"/>
    <xf numFmtId="4" fontId="5" fillId="5" borderId="0" xfId="0" applyNumberFormat="1" applyFont="1" applyFill="1" applyBorder="1"/>
    <xf numFmtId="0" fontId="5" fillId="5" borderId="23" xfId="0" applyFont="1" applyFill="1" applyBorder="1"/>
    <xf numFmtId="4" fontId="12" fillId="0" borderId="23" xfId="0" applyNumberFormat="1" applyFont="1" applyBorder="1"/>
    <xf numFmtId="4" fontId="12" fillId="0" borderId="23" xfId="0" applyNumberFormat="1" applyFont="1" applyBorder="1" applyAlignment="1">
      <alignment horizontal="right"/>
    </xf>
    <xf numFmtId="4" fontId="12" fillId="3" borderId="0" xfId="0" applyNumberFormat="1" applyFont="1" applyFill="1" applyBorder="1" applyAlignment="1">
      <alignment horizontal="right"/>
    </xf>
    <xf numFmtId="0" fontId="6" fillId="0" borderId="0" xfId="0" applyFont="1" applyFill="1" applyBorder="1" applyAlignment="1" applyProtection="1">
      <alignment vertical="center" wrapText="1"/>
    </xf>
    <xf numFmtId="4" fontId="6" fillId="3" borderId="23" xfId="0" applyNumberFormat="1" applyFont="1" applyFill="1" applyBorder="1"/>
    <xf numFmtId="4" fontId="6" fillId="3" borderId="26" xfId="0" applyNumberFormat="1" applyFont="1" applyFill="1" applyBorder="1"/>
    <xf numFmtId="4" fontId="6" fillId="3" borderId="5" xfId="0" applyNumberFormat="1" applyFont="1" applyFill="1" applyBorder="1"/>
    <xf numFmtId="0" fontId="5" fillId="0" borderId="23" xfId="0" applyFont="1" applyFill="1" applyBorder="1"/>
    <xf numFmtId="0" fontId="5" fillId="0" borderId="49" xfId="0" applyFont="1" applyBorder="1" applyAlignment="1">
      <alignment horizontal="center" vertical="center" wrapText="1"/>
    </xf>
    <xf numFmtId="0" fontId="5" fillId="0" borderId="47" xfId="0" applyFont="1" applyBorder="1" applyAlignment="1">
      <alignment wrapText="1"/>
    </xf>
    <xf numFmtId="0" fontId="5" fillId="0" borderId="49" xfId="0" applyFont="1" applyFill="1" applyBorder="1" applyAlignment="1">
      <alignment horizontal="center" vertical="center" wrapText="1"/>
    </xf>
    <xf numFmtId="0" fontId="5" fillId="0" borderId="48" xfId="0" applyFont="1" applyBorder="1" applyAlignment="1">
      <alignment wrapText="1"/>
    </xf>
    <xf numFmtId="0" fontId="5" fillId="0" borderId="48" xfId="0" applyFont="1" applyBorder="1" applyAlignment="1">
      <alignment horizontal="right" wrapText="1"/>
    </xf>
    <xf numFmtId="0" fontId="5" fillId="0" borderId="48" xfId="0" applyFont="1" applyBorder="1" applyAlignment="1">
      <alignment vertical="center" wrapText="1"/>
    </xf>
    <xf numFmtId="0" fontId="5" fillId="0" borderId="48" xfId="0" applyFont="1" applyBorder="1" applyAlignment="1">
      <alignment horizontal="center" vertical="center" wrapText="1"/>
    </xf>
    <xf numFmtId="0" fontId="5" fillId="0" borderId="0" xfId="0" applyFont="1" applyAlignment="1">
      <alignment horizontal="center" vertical="center"/>
    </xf>
    <xf numFmtId="4" fontId="22" fillId="0" borderId="0" xfId="0" applyNumberFormat="1" applyFont="1" applyFill="1" applyBorder="1" applyAlignment="1" applyProtection="1">
      <alignment vertical="center"/>
    </xf>
    <xf numFmtId="0" fontId="5" fillId="0" borderId="0" xfId="0" applyFont="1" applyAlignment="1" applyProtection="1">
      <alignment wrapText="1"/>
    </xf>
    <xf numFmtId="0" fontId="5" fillId="0" borderId="49" xfId="0" applyFont="1" applyBorder="1" applyAlignment="1" applyProtection="1">
      <alignment horizontal="center" vertical="center" wrapText="1"/>
    </xf>
    <xf numFmtId="0" fontId="5" fillId="0" borderId="47" xfId="0" applyFont="1" applyBorder="1" applyAlignment="1" applyProtection="1">
      <alignment wrapText="1"/>
    </xf>
    <xf numFmtId="0" fontId="5" fillId="0" borderId="49" xfId="0" applyFont="1" applyFill="1" applyBorder="1" applyAlignment="1" applyProtection="1">
      <alignment horizontal="center" vertical="center" wrapText="1"/>
    </xf>
    <xf numFmtId="0" fontId="5" fillId="0" borderId="29" xfId="0" applyFont="1" applyBorder="1" applyAlignment="1" applyProtection="1">
      <alignment wrapText="1"/>
    </xf>
    <xf numFmtId="0" fontId="5" fillId="0" borderId="48" xfId="0" applyFont="1" applyBorder="1" applyAlignment="1" applyProtection="1">
      <alignment wrapText="1"/>
    </xf>
    <xf numFmtId="0" fontId="5" fillId="0" borderId="48" xfId="0" applyFont="1" applyBorder="1" applyAlignment="1" applyProtection="1">
      <alignment horizontal="right" wrapText="1"/>
    </xf>
    <xf numFmtId="0" fontId="5" fillId="0" borderId="48" xfId="0" applyFont="1" applyBorder="1" applyAlignment="1" applyProtection="1">
      <alignment vertical="center" wrapText="1"/>
    </xf>
    <xf numFmtId="0" fontId="5" fillId="0" borderId="48" xfId="0" applyFont="1" applyBorder="1" applyAlignment="1" applyProtection="1">
      <alignment horizontal="center" vertical="center" wrapText="1"/>
    </xf>
    <xf numFmtId="0" fontId="5" fillId="0" borderId="31" xfId="0" applyFont="1" applyBorder="1" applyAlignment="1" applyProtection="1">
      <alignment wrapText="1"/>
    </xf>
    <xf numFmtId="0" fontId="5" fillId="0" borderId="32" xfId="0" applyFont="1" applyBorder="1" applyProtection="1"/>
    <xf numFmtId="0" fontId="5" fillId="0" borderId="12" xfId="0" applyFont="1" applyBorder="1" applyAlignment="1" applyProtection="1">
      <alignment horizontal="right"/>
    </xf>
    <xf numFmtId="0" fontId="5" fillId="0" borderId="33" xfId="0" applyFont="1" applyBorder="1" applyProtection="1"/>
    <xf numFmtId="0" fontId="5" fillId="0" borderId="0" xfId="0" applyFont="1" applyBorder="1" applyAlignment="1" applyProtection="1">
      <alignment horizontal="right"/>
    </xf>
    <xf numFmtId="0" fontId="5" fillId="0" borderId="23" xfId="0" applyFont="1" applyBorder="1" applyProtection="1"/>
    <xf numFmtId="0" fontId="5" fillId="0" borderId="23" xfId="0" applyFont="1" applyBorder="1" applyAlignment="1" applyProtection="1">
      <alignment horizontal="right"/>
    </xf>
    <xf numFmtId="4" fontId="6" fillId="3" borderId="26" xfId="0" applyNumberFormat="1" applyFont="1" applyFill="1" applyBorder="1" applyProtection="1"/>
    <xf numFmtId="4" fontId="5" fillId="0" borderId="0" xfId="0" applyNumberFormat="1" applyFont="1" applyBorder="1" applyProtection="1"/>
    <xf numFmtId="4" fontId="5" fillId="0" borderId="33" xfId="0" applyNumberFormat="1" applyFont="1" applyBorder="1" applyProtection="1"/>
    <xf numFmtId="0" fontId="5" fillId="0" borderId="34" xfId="0" applyFont="1" applyBorder="1" applyProtection="1"/>
    <xf numFmtId="0" fontId="5" fillId="0" borderId="35" xfId="0" applyFont="1" applyBorder="1" applyProtection="1"/>
    <xf numFmtId="0" fontId="5" fillId="0" borderId="35" xfId="0" applyFont="1" applyBorder="1" applyAlignment="1" applyProtection="1">
      <alignment horizontal="right"/>
    </xf>
    <xf numFmtId="4" fontId="5" fillId="0" borderId="35" xfId="0" applyNumberFormat="1" applyFont="1" applyBorder="1" applyProtection="1"/>
    <xf numFmtId="0" fontId="5" fillId="0" borderId="36" xfId="0" applyFont="1" applyBorder="1" applyProtection="1"/>
    <xf numFmtId="0" fontId="5" fillId="0" borderId="29" xfId="0" applyFont="1" applyBorder="1" applyProtection="1"/>
    <xf numFmtId="0" fontId="5" fillId="0" borderId="30" xfId="0" applyFont="1" applyBorder="1" applyProtection="1"/>
    <xf numFmtId="0" fontId="5" fillId="0" borderId="30" xfId="0" applyFont="1" applyBorder="1" applyAlignment="1" applyProtection="1">
      <alignment horizontal="right"/>
    </xf>
    <xf numFmtId="0" fontId="5" fillId="0" borderId="31" xfId="0" applyFont="1" applyBorder="1" applyProtection="1"/>
    <xf numFmtId="0" fontId="5" fillId="0" borderId="32" xfId="0" applyFont="1" applyFill="1" applyBorder="1" applyProtection="1"/>
    <xf numFmtId="0" fontId="5" fillId="0" borderId="33" xfId="0" applyFont="1" applyFill="1" applyBorder="1" applyProtection="1"/>
    <xf numFmtId="0" fontId="5" fillId="0" borderId="0" xfId="0" applyFont="1" applyFill="1" applyProtection="1"/>
    <xf numFmtId="0" fontId="5" fillId="0" borderId="0" xfId="0" applyFont="1" applyFill="1" applyBorder="1" applyAlignment="1" applyProtection="1">
      <alignment horizontal="right"/>
    </xf>
    <xf numFmtId="4" fontId="5" fillId="0" borderId="0" xfId="0" applyNumberFormat="1" applyFont="1" applyFill="1" applyBorder="1" applyProtection="1"/>
    <xf numFmtId="0" fontId="5" fillId="0" borderId="35" xfId="0" applyFont="1" applyFill="1" applyBorder="1" applyProtection="1"/>
    <xf numFmtId="0" fontId="5" fillId="0" borderId="35" xfId="0" applyFont="1" applyFill="1" applyBorder="1" applyAlignment="1" applyProtection="1">
      <alignment horizontal="right"/>
    </xf>
    <xf numFmtId="4" fontId="5" fillId="0" borderId="35" xfId="0" applyNumberFormat="1" applyFont="1" applyFill="1" applyBorder="1" applyProtection="1"/>
    <xf numFmtId="0" fontId="5" fillId="0" borderId="0" xfId="0" applyFont="1" applyFill="1" applyAlignment="1" applyProtection="1">
      <alignment horizontal="right"/>
    </xf>
    <xf numFmtId="4" fontId="5" fillId="0" borderId="0" xfId="0" applyNumberFormat="1" applyFont="1" applyFill="1" applyProtection="1"/>
    <xf numFmtId="4" fontId="5" fillId="0" borderId="0" xfId="0" applyNumberFormat="1" applyFont="1" applyProtection="1"/>
    <xf numFmtId="0" fontId="5" fillId="0" borderId="30" xfId="0" applyFont="1" applyFill="1" applyBorder="1" applyProtection="1"/>
    <xf numFmtId="0" fontId="5" fillId="0" borderId="30" xfId="0" applyFont="1" applyFill="1" applyBorder="1" applyAlignment="1" applyProtection="1">
      <alignment horizontal="right"/>
    </xf>
    <xf numFmtId="4" fontId="5" fillId="0" borderId="30" xfId="0" applyNumberFormat="1" applyFont="1" applyFill="1" applyBorder="1" applyProtection="1"/>
    <xf numFmtId="0" fontId="5" fillId="0" borderId="23" xfId="0" applyFont="1" applyFill="1" applyBorder="1" applyProtection="1"/>
    <xf numFmtId="4" fontId="5" fillId="0" borderId="23" xfId="0" applyNumberFormat="1" applyFont="1" applyFill="1" applyBorder="1" applyProtection="1"/>
    <xf numFmtId="4" fontId="5" fillId="0" borderId="30" xfId="0" applyNumberFormat="1" applyFont="1" applyBorder="1" applyProtection="1"/>
    <xf numFmtId="0" fontId="5" fillId="0" borderId="30" xfId="0" applyNumberFormat="1" applyFont="1" applyFill="1" applyBorder="1" applyProtection="1"/>
    <xf numFmtId="0" fontId="5" fillId="0" borderId="12" xfId="0" applyNumberFormat="1" applyFont="1" applyFill="1" applyBorder="1" applyProtection="1"/>
    <xf numFmtId="0" fontId="5" fillId="0" borderId="13" xfId="0" applyFont="1" applyBorder="1" applyProtection="1"/>
    <xf numFmtId="0" fontId="5" fillId="5" borderId="5" xfId="0" applyFont="1" applyFill="1" applyBorder="1" applyProtection="1"/>
    <xf numFmtId="0" fontId="5" fillId="0" borderId="0" xfId="0" applyFont="1" applyAlignment="1" applyProtection="1">
      <alignment horizontal="right"/>
    </xf>
    <xf numFmtId="0" fontId="5" fillId="0" borderId="0" xfId="0" applyFont="1" applyAlignment="1" applyProtection="1">
      <alignment horizontal="center" vertical="center"/>
    </xf>
    <xf numFmtId="0" fontId="5" fillId="0" borderId="6" xfId="0" applyFont="1" applyFill="1" applyBorder="1" applyProtection="1"/>
    <xf numFmtId="4" fontId="5" fillId="0" borderId="17" xfId="0" applyNumberFormat="1" applyFont="1" applyFill="1" applyBorder="1" applyProtection="1"/>
    <xf numFmtId="4" fontId="6" fillId="0" borderId="23" xfId="0" applyNumberFormat="1" applyFont="1" applyFill="1" applyBorder="1" applyProtection="1"/>
    <xf numFmtId="0" fontId="28" fillId="0" borderId="0" xfId="4" quotePrefix="1" applyFont="1" applyFill="1" applyBorder="1" applyAlignment="1" applyProtection="1">
      <alignment horizontal="center" vertical="center" wrapText="1"/>
    </xf>
    <xf numFmtId="0" fontId="28" fillId="0" borderId="0" xfId="4" quotePrefix="1" applyFont="1" applyFill="1" applyBorder="1" applyAlignment="1" applyProtection="1">
      <alignment vertical="center" wrapText="1"/>
    </xf>
    <xf numFmtId="43" fontId="5" fillId="5" borderId="5" xfId="0" applyNumberFormat="1" applyFont="1" applyFill="1" applyBorder="1" applyProtection="1"/>
    <xf numFmtId="0" fontId="5" fillId="0" borderId="12" xfId="0" applyFont="1" applyFill="1" applyBorder="1" applyProtection="1"/>
    <xf numFmtId="0" fontId="5" fillId="0" borderId="12" xfId="0" applyFont="1" applyFill="1" applyBorder="1" applyAlignment="1" applyProtection="1">
      <alignment wrapText="1"/>
    </xf>
    <xf numFmtId="0" fontId="12" fillId="0" borderId="0" xfId="0" applyFont="1" applyFill="1" applyBorder="1" applyAlignment="1" applyProtection="1">
      <alignment horizontal="right"/>
    </xf>
    <xf numFmtId="4" fontId="12" fillId="0" borderId="0" xfId="0" applyNumberFormat="1" applyFont="1" applyFill="1" applyBorder="1" applyAlignment="1" applyProtection="1">
      <alignment horizontal="right"/>
    </xf>
    <xf numFmtId="4" fontId="12" fillId="0" borderId="23" xfId="0" applyNumberFormat="1" applyFont="1" applyFill="1" applyBorder="1" applyProtection="1"/>
    <xf numFmtId="4" fontId="12" fillId="0" borderId="23" xfId="0" applyNumberFormat="1" applyFont="1" applyFill="1" applyBorder="1" applyAlignment="1" applyProtection="1">
      <alignment horizontal="right"/>
    </xf>
    <xf numFmtId="4" fontId="6" fillId="0" borderId="26" xfId="0" applyNumberFormat="1" applyFont="1" applyFill="1" applyBorder="1" applyProtection="1"/>
    <xf numFmtId="0" fontId="12" fillId="0" borderId="12" xfId="0" applyFont="1" applyFill="1" applyBorder="1" applyAlignment="1" applyProtection="1">
      <alignment horizontal="right"/>
    </xf>
    <xf numFmtId="3" fontId="5" fillId="0" borderId="12" xfId="0" applyNumberFormat="1" applyFont="1" applyFill="1" applyBorder="1" applyProtection="1"/>
    <xf numFmtId="0" fontId="5" fillId="0" borderId="13" xfId="0" applyFont="1" applyFill="1" applyBorder="1" applyProtection="1"/>
    <xf numFmtId="0" fontId="16" fillId="0" borderId="12" xfId="0" applyFont="1" applyFill="1" applyBorder="1" applyAlignment="1" applyProtection="1">
      <alignment horizontal="right"/>
    </xf>
    <xf numFmtId="0" fontId="5" fillId="0" borderId="0" xfId="0" applyNumberFormat="1" applyFont="1" applyFill="1" applyBorder="1" applyProtection="1"/>
    <xf numFmtId="0" fontId="5" fillId="0" borderId="0" xfId="0" applyNumberFormat="1" applyFont="1" applyFill="1" applyBorder="1" applyAlignment="1" applyProtection="1">
      <alignment horizontal="right"/>
    </xf>
    <xf numFmtId="0" fontId="5" fillId="0" borderId="23" xfId="0" applyNumberFormat="1" applyFont="1" applyFill="1" applyBorder="1" applyProtection="1"/>
    <xf numFmtId="0" fontId="5" fillId="0" borderId="0" xfId="0" applyFont="1" applyBorder="1" applyAlignment="1" applyProtection="1"/>
    <xf numFmtId="0" fontId="5" fillId="0" borderId="35" xfId="0" applyFont="1" applyBorder="1" applyAlignment="1" applyProtection="1"/>
    <xf numFmtId="0" fontId="5" fillId="0" borderId="30" xfId="0" applyFont="1" applyBorder="1" applyAlignment="1" applyProtection="1"/>
    <xf numFmtId="0" fontId="5" fillId="0" borderId="0" xfId="0" applyFont="1" applyAlignment="1" applyProtection="1"/>
    <xf numFmtId="0" fontId="5" fillId="0" borderId="52" xfId="0" applyFont="1" applyBorder="1" applyProtection="1"/>
    <xf numFmtId="0" fontId="5" fillId="0" borderId="52" xfId="0" applyFont="1" applyBorder="1" applyAlignment="1" applyProtection="1">
      <alignment horizontal="right"/>
    </xf>
    <xf numFmtId="0" fontId="5" fillId="0" borderId="52" xfId="0" applyFont="1" applyFill="1" applyBorder="1" applyProtection="1"/>
    <xf numFmtId="0" fontId="12" fillId="0" borderId="52" xfId="0" applyFont="1" applyFill="1" applyBorder="1" applyAlignment="1" applyProtection="1">
      <alignment horizontal="right"/>
    </xf>
    <xf numFmtId="0" fontId="5" fillId="0" borderId="52" xfId="0" applyFont="1" applyFill="1" applyBorder="1" applyAlignment="1" applyProtection="1">
      <alignment horizontal="right"/>
    </xf>
    <xf numFmtId="3" fontId="5" fillId="0" borderId="52" xfId="0" applyNumberFormat="1" applyFont="1" applyFill="1" applyBorder="1" applyProtection="1"/>
    <xf numFmtId="0" fontId="5" fillId="0" borderId="56" xfId="0" applyFont="1" applyBorder="1" applyProtection="1"/>
    <xf numFmtId="0" fontId="5" fillId="0" borderId="56" xfId="0" applyFont="1" applyBorder="1" applyAlignment="1" applyProtection="1">
      <alignment horizontal="right"/>
    </xf>
    <xf numFmtId="4" fontId="5" fillId="0" borderId="56" xfId="0" applyNumberFormat="1" applyFont="1" applyFill="1" applyBorder="1" applyProtection="1"/>
    <xf numFmtId="0" fontId="5" fillId="0" borderId="56" xfId="0" applyFont="1" applyFill="1" applyBorder="1" applyProtection="1"/>
    <xf numFmtId="0" fontId="29" fillId="0" borderId="56" xfId="0" applyFont="1" applyFill="1" applyBorder="1" applyAlignment="1" applyProtection="1">
      <alignment horizontal="right"/>
    </xf>
    <xf numFmtId="0" fontId="25" fillId="0" borderId="52" xfId="0" applyFont="1" applyBorder="1"/>
    <xf numFmtId="0" fontId="25" fillId="0" borderId="52" xfId="0" applyFont="1" applyBorder="1" applyAlignment="1">
      <alignment horizontal="right"/>
    </xf>
    <xf numFmtId="0" fontId="25" fillId="3" borderId="52" xfId="0" applyFont="1" applyFill="1" applyBorder="1"/>
    <xf numFmtId="0" fontId="25" fillId="5" borderId="52" xfId="0" applyFont="1" applyFill="1" applyBorder="1"/>
    <xf numFmtId="0" fontId="26" fillId="0" borderId="52" xfId="0" applyFont="1" applyBorder="1" applyAlignment="1">
      <alignment horizontal="right"/>
    </xf>
    <xf numFmtId="0" fontId="25" fillId="5" borderId="52" xfId="0" applyFont="1" applyFill="1" applyBorder="1" applyAlignment="1">
      <alignment horizontal="right"/>
    </xf>
    <xf numFmtId="0" fontId="26" fillId="5" borderId="52" xfId="0" applyFont="1" applyFill="1" applyBorder="1" applyAlignment="1">
      <alignment horizontal="right"/>
    </xf>
    <xf numFmtId="3" fontId="25" fillId="3" borderId="52" xfId="0" applyNumberFormat="1" applyFont="1" applyFill="1" applyBorder="1"/>
    <xf numFmtId="0" fontId="25" fillId="0" borderId="56" xfId="0" applyFont="1" applyBorder="1"/>
    <xf numFmtId="0" fontId="25" fillId="0" borderId="56" xfId="0" applyFont="1" applyBorder="1" applyAlignment="1">
      <alignment horizontal="right"/>
    </xf>
    <xf numFmtId="4" fontId="25" fillId="3" borderId="56" xfId="0" applyNumberFormat="1" applyFont="1" applyFill="1" applyBorder="1"/>
    <xf numFmtId="4" fontId="25" fillId="5" borderId="56" xfId="0" applyNumberFormat="1" applyFont="1" applyFill="1" applyBorder="1"/>
    <xf numFmtId="0" fontId="25" fillId="5" borderId="56" xfId="0" applyFont="1" applyFill="1" applyBorder="1"/>
    <xf numFmtId="0" fontId="27" fillId="5" borderId="56" xfId="0" applyFont="1" applyFill="1" applyBorder="1" applyAlignment="1">
      <alignment horizontal="right"/>
    </xf>
    <xf numFmtId="0" fontId="5" fillId="0" borderId="3" xfId="0" applyFont="1" applyBorder="1" applyAlignment="1" applyProtection="1">
      <alignment horizontal="center" vertical="center" wrapText="1"/>
    </xf>
    <xf numFmtId="4" fontId="6" fillId="0" borderId="0" xfId="0" applyNumberFormat="1" applyFont="1" applyFill="1" applyBorder="1" applyProtection="1"/>
    <xf numFmtId="4" fontId="5" fillId="0" borderId="5" xfId="0" applyNumberFormat="1" applyFont="1" applyFill="1" applyBorder="1" applyProtection="1"/>
    <xf numFmtId="4" fontId="6" fillId="4" borderId="0" xfId="0" applyNumberFormat="1" applyFont="1" applyFill="1" applyBorder="1" applyProtection="1">
      <protection locked="0"/>
    </xf>
    <xf numFmtId="0" fontId="5" fillId="3" borderId="23" xfId="0" applyNumberFormat="1" applyFont="1" applyFill="1" applyBorder="1" applyAlignment="1">
      <alignment horizontal="right"/>
    </xf>
    <xf numFmtId="0" fontId="5" fillId="3" borderId="23" xfId="0" applyNumberFormat="1" applyFont="1" applyFill="1" applyBorder="1"/>
    <xf numFmtId="4" fontId="5" fillId="0" borderId="23" xfId="0" applyNumberFormat="1" applyFont="1" applyBorder="1" applyProtection="1"/>
    <xf numFmtId="4" fontId="12" fillId="5" borderId="0" xfId="0" applyNumberFormat="1" applyFont="1" applyFill="1" applyBorder="1" applyAlignment="1">
      <alignment horizontal="right"/>
    </xf>
    <xf numFmtId="0" fontId="5" fillId="0" borderId="23" xfId="0" applyNumberFormat="1" applyFont="1" applyFill="1" applyBorder="1" applyAlignment="1" applyProtection="1">
      <alignment horizontal="right"/>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43" fontId="21" fillId="5" borderId="5" xfId="0" applyNumberFormat="1" applyFont="1" applyFill="1" applyBorder="1"/>
    <xf numFmtId="4" fontId="21" fillId="5" borderId="0" xfId="0" applyNumberFormat="1" applyFont="1" applyFill="1" applyBorder="1"/>
    <xf numFmtId="0" fontId="21" fillId="5" borderId="0" xfId="0" applyFont="1" applyFill="1" applyBorder="1"/>
    <xf numFmtId="0" fontId="30" fillId="0" borderId="0" xfId="4" quotePrefix="1" applyFont="1" applyFill="1" applyBorder="1" applyAlignment="1" applyProtection="1">
      <alignment vertical="center" wrapText="1"/>
    </xf>
    <xf numFmtId="0" fontId="30" fillId="0" borderId="0" xfId="4" quotePrefix="1" applyFont="1" applyFill="1" applyBorder="1" applyAlignment="1" applyProtection="1">
      <alignment horizontal="center" vertical="center" wrapText="1"/>
    </xf>
    <xf numFmtId="0" fontId="5" fillId="0" borderId="0" xfId="0" applyFont="1" applyAlignment="1">
      <alignment vertical="top"/>
    </xf>
    <xf numFmtId="0" fontId="12" fillId="0" borderId="0" xfId="0" applyFont="1" applyAlignment="1">
      <alignment horizontal="right" vertical="top"/>
    </xf>
    <xf numFmtId="0" fontId="17" fillId="7" borderId="43"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xf>
    <xf numFmtId="43" fontId="0" fillId="0" borderId="0" xfId="0" applyNumberFormat="1"/>
    <xf numFmtId="43" fontId="5" fillId="0" borderId="0" xfId="2" applyFont="1"/>
    <xf numFmtId="0" fontId="5" fillId="0" borderId="0" xfId="0" applyFont="1" applyAlignment="1">
      <alignment vertical="center"/>
    </xf>
    <xf numFmtId="0" fontId="5" fillId="4" borderId="6" xfId="0" applyFont="1" applyFill="1" applyBorder="1" applyAlignment="1" applyProtection="1">
      <alignment vertical="center"/>
      <protection locked="0"/>
    </xf>
    <xf numFmtId="43" fontId="5" fillId="0" borderId="6" xfId="2" applyFont="1" applyBorder="1" applyAlignment="1">
      <alignment vertical="center"/>
    </xf>
    <xf numFmtId="4" fontId="6" fillId="0" borderId="8" xfId="0" applyNumberFormat="1" applyFont="1" applyFill="1" applyBorder="1" applyAlignment="1" applyProtection="1">
      <alignment horizontal="right" vertical="center"/>
    </xf>
    <xf numFmtId="165" fontId="6" fillId="0" borderId="2" xfId="0" applyNumberFormat="1" applyFont="1" applyFill="1" applyBorder="1" applyAlignment="1" applyProtection="1">
      <alignment horizontal="center" vertical="center"/>
    </xf>
    <xf numFmtId="165" fontId="6" fillId="0" borderId="27" xfId="0" applyNumberFormat="1" applyFont="1" applyFill="1" applyBorder="1" applyAlignment="1" applyProtection="1">
      <alignment horizontal="center" vertical="center"/>
    </xf>
    <xf numFmtId="0" fontId="6" fillId="0" borderId="9" xfId="0" applyFont="1" applyFill="1" applyBorder="1" applyAlignment="1" applyProtection="1">
      <alignment vertical="center"/>
    </xf>
    <xf numFmtId="4" fontId="6" fillId="0" borderId="9" xfId="0" applyNumberFormat="1" applyFont="1" applyFill="1" applyBorder="1" applyAlignment="1" applyProtection="1">
      <alignment vertical="center"/>
    </xf>
    <xf numFmtId="0" fontId="18" fillId="0" borderId="0" xfId="0" applyFont="1" applyAlignment="1">
      <alignment horizontal="left" wrapText="1"/>
    </xf>
    <xf numFmtId="0" fontId="34" fillId="8" borderId="0" xfId="1" applyFont="1" applyFill="1"/>
    <xf numFmtId="0" fontId="35" fillId="8" borderId="0" xfId="1" applyFont="1" applyFill="1"/>
    <xf numFmtId="43" fontId="36" fillId="8" borderId="0" xfId="2" applyFont="1" applyFill="1" applyBorder="1"/>
    <xf numFmtId="9" fontId="35" fillId="8" borderId="0" xfId="1" applyNumberFormat="1" applyFont="1" applyFill="1"/>
    <xf numFmtId="43" fontId="36" fillId="8" borderId="0" xfId="2" applyFont="1" applyFill="1"/>
    <xf numFmtId="0" fontId="2" fillId="6" borderId="65" xfId="1" applyFill="1" applyBorder="1"/>
    <xf numFmtId="43" fontId="2" fillId="6" borderId="65" xfId="2" applyFont="1" applyFill="1" applyBorder="1"/>
    <xf numFmtId="43" fontId="2" fillId="9" borderId="65" xfId="2" applyFont="1" applyFill="1" applyBorder="1"/>
    <xf numFmtId="43" fontId="2" fillId="9" borderId="65" xfId="2" applyFont="1" applyFill="1" applyBorder="1" applyAlignment="1">
      <alignment horizontal="center"/>
    </xf>
    <xf numFmtId="43" fontId="37" fillId="9" borderId="65" xfId="2" applyFont="1" applyFill="1" applyBorder="1"/>
    <xf numFmtId="43" fontId="2" fillId="10" borderId="65" xfId="2" applyFont="1" applyFill="1" applyBorder="1"/>
    <xf numFmtId="43" fontId="11" fillId="10" borderId="65" xfId="2" applyFont="1" applyFill="1" applyBorder="1" applyAlignment="1">
      <alignment horizontal="center"/>
    </xf>
    <xf numFmtId="43" fontId="2" fillId="6" borderId="65" xfId="2" applyFont="1" applyFill="1" applyBorder="1" applyAlignment="1">
      <alignment horizontal="center"/>
    </xf>
    <xf numFmtId="43" fontId="11" fillId="6" borderId="65" xfId="2" applyFont="1" applyFill="1" applyBorder="1" applyAlignment="1">
      <alignment horizontal="center"/>
    </xf>
    <xf numFmtId="0" fontId="5" fillId="2" borderId="0" xfId="0" applyFont="1" applyFill="1"/>
    <xf numFmtId="0" fontId="24" fillId="0" borderId="0" xfId="0" applyFont="1"/>
    <xf numFmtId="164" fontId="29" fillId="0" borderId="0" xfId="5" applyNumberFormat="1" applyFont="1" applyFill="1" applyBorder="1" applyAlignment="1" applyProtection="1"/>
    <xf numFmtId="4" fontId="29" fillId="4" borderId="27" xfId="5" applyNumberFormat="1" applyFont="1" applyFill="1" applyBorder="1" applyAlignment="1" applyProtection="1">
      <protection locked="0"/>
    </xf>
    <xf numFmtId="10" fontId="29" fillId="0" borderId="0" xfId="6" applyNumberFormat="1" applyFont="1" applyFill="1" applyBorder="1" applyAlignment="1" applyProtection="1">
      <alignment horizontal="right" vertical="center"/>
    </xf>
    <xf numFmtId="9" fontId="29" fillId="0" borderId="0" xfId="6" applyFont="1" applyFill="1" applyBorder="1" applyAlignment="1" applyProtection="1">
      <alignment horizontal="right" vertical="center"/>
    </xf>
    <xf numFmtId="0" fontId="5" fillId="0" borderId="0" xfId="0" applyFont="1" applyAlignment="1">
      <alignment vertical="center" wrapText="1"/>
    </xf>
    <xf numFmtId="0" fontId="6" fillId="0" borderId="4" xfId="0" applyFont="1" applyBorder="1" applyAlignment="1">
      <alignment vertical="center"/>
    </xf>
    <xf numFmtId="0" fontId="7" fillId="0" borderId="0" xfId="0" applyFont="1" applyAlignment="1">
      <alignment vertical="top"/>
    </xf>
    <xf numFmtId="0" fontId="7" fillId="0" borderId="4" xfId="0" applyFont="1" applyBorder="1" applyAlignment="1">
      <alignment horizontal="center" vertical="top"/>
    </xf>
    <xf numFmtId="0" fontId="7" fillId="0" borderId="0" xfId="0" applyFont="1" applyAlignment="1">
      <alignment horizontal="center" vertical="top"/>
    </xf>
    <xf numFmtId="0" fontId="5" fillId="0" borderId="5" xfId="0" applyFont="1" applyBorder="1"/>
    <xf numFmtId="0" fontId="5" fillId="4" borderId="42" xfId="0" applyFont="1" applyFill="1" applyBorder="1" applyProtection="1">
      <protection locked="0"/>
    </xf>
    <xf numFmtId="0" fontId="5" fillId="0" borderId="43" xfId="0" applyFont="1" applyBorder="1"/>
    <xf numFmtId="0" fontId="5" fillId="0" borderId="1" xfId="0" applyFont="1" applyBorder="1"/>
    <xf numFmtId="0" fontId="5" fillId="0" borderId="44" xfId="0" applyFont="1" applyBorder="1"/>
    <xf numFmtId="0" fontId="5" fillId="0" borderId="15" xfId="0" applyFont="1" applyBorder="1" applyAlignment="1">
      <alignment horizontal="center"/>
    </xf>
    <xf numFmtId="0" fontId="5" fillId="0" borderId="7" xfId="0" applyFont="1" applyBorder="1"/>
    <xf numFmtId="0" fontId="5" fillId="0" borderId="7" xfId="0" applyFont="1" applyBorder="1" applyAlignment="1">
      <alignment horizontal="center"/>
    </xf>
    <xf numFmtId="0" fontId="5" fillId="0" borderId="0" xfId="0" applyFont="1" applyAlignment="1">
      <alignment horizontal="left"/>
    </xf>
    <xf numFmtId="0" fontId="6" fillId="0" borderId="0" xfId="0" applyFont="1" applyAlignment="1">
      <alignment horizontal="center"/>
    </xf>
    <xf numFmtId="0" fontId="7" fillId="2" borderId="0" xfId="0" applyFont="1" applyFill="1" applyAlignment="1">
      <alignment vertical="top"/>
    </xf>
    <xf numFmtId="0" fontId="5" fillId="0" borderId="22" xfId="0" applyFont="1" applyBorder="1" applyAlignment="1">
      <alignment horizontal="right" vertical="center" wrapText="1"/>
    </xf>
    <xf numFmtId="0" fontId="5" fillId="0" borderId="18" xfId="0" applyFont="1" applyBorder="1"/>
    <xf numFmtId="0" fontId="5" fillId="0" borderId="19" xfId="0" applyFont="1" applyBorder="1"/>
    <xf numFmtId="0" fontId="5" fillId="0" borderId="0" xfId="0" applyFont="1" applyAlignment="1" applyProtection="1">
      <alignment horizontal="right" vertical="center"/>
    </xf>
    <xf numFmtId="0" fontId="5" fillId="0" borderId="6" xfId="0" applyFont="1" applyFill="1" applyBorder="1" applyAlignment="1" applyProtection="1">
      <alignment vertical="center"/>
      <protection locked="0"/>
    </xf>
    <xf numFmtId="4" fontId="6" fillId="0" borderId="0" xfId="0" applyNumberFormat="1" applyFont="1" applyFill="1" applyBorder="1" applyAlignment="1" applyProtection="1">
      <alignment horizontal="right" vertical="center" wrapText="1"/>
    </xf>
    <xf numFmtId="0" fontId="18" fillId="0" borderId="0" xfId="0" applyFont="1" applyAlignment="1">
      <alignment horizontal="center" wrapText="1"/>
    </xf>
    <xf numFmtId="49" fontId="12" fillId="0" borderId="0" xfId="0" applyNumberFormat="1" applyFont="1" applyAlignment="1">
      <alignment horizontal="right"/>
    </xf>
    <xf numFmtId="0" fontId="2" fillId="0" borderId="65" xfId="1" applyFill="1" applyBorder="1"/>
    <xf numFmtId="43" fontId="2" fillId="0" borderId="65" xfId="2" applyFont="1" applyFill="1" applyBorder="1"/>
    <xf numFmtId="43" fontId="38" fillId="0" borderId="65" xfId="2" applyFont="1" applyFill="1" applyBorder="1" applyAlignment="1">
      <alignment horizontal="center"/>
    </xf>
    <xf numFmtId="43" fontId="37" fillId="0" borderId="65" xfId="2" applyFont="1" applyFill="1" applyBorder="1"/>
    <xf numFmtId="0" fontId="29" fillId="4" borderId="0" xfId="0" quotePrefix="1" applyFont="1" applyFill="1" applyAlignment="1" applyProtection="1">
      <alignment horizontal="center"/>
      <protection locked="0"/>
    </xf>
    <xf numFmtId="0" fontId="5" fillId="4" borderId="42" xfId="0" applyFont="1" applyFill="1" applyBorder="1" applyAlignment="1" applyProtection="1">
      <alignment horizontal="center"/>
      <protection locked="0"/>
    </xf>
    <xf numFmtId="4" fontId="6" fillId="3" borderId="0" xfId="0" applyNumberFormat="1" applyFont="1" applyFill="1" applyBorder="1"/>
    <xf numFmtId="0" fontId="5" fillId="5" borderId="0" xfId="0" applyFont="1" applyFill="1" applyBorder="1" applyProtection="1"/>
    <xf numFmtId="4" fontId="5" fillId="3" borderId="26" xfId="0" applyNumberFormat="1" applyFont="1" applyFill="1" applyBorder="1"/>
    <xf numFmtId="0" fontId="6" fillId="0" borderId="8" xfId="0" applyFont="1" applyFill="1" applyBorder="1" applyAlignment="1" applyProtection="1">
      <alignment horizontal="center" vertical="center"/>
    </xf>
    <xf numFmtId="0" fontId="7" fillId="0" borderId="4"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5" fillId="0" borderId="0" xfId="0" applyFont="1" applyFill="1" applyBorder="1" applyAlignment="1" applyProtection="1">
      <alignment horizontal="center"/>
    </xf>
    <xf numFmtId="0" fontId="6"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6" fillId="0" borderId="0" xfId="0" applyFont="1" applyFill="1" applyAlignment="1" applyProtection="1">
      <alignment horizontal="right" vertical="center"/>
    </xf>
    <xf numFmtId="0" fontId="17" fillId="0" borderId="0" xfId="0" applyFont="1" applyFill="1" applyBorder="1" applyAlignment="1" applyProtection="1">
      <alignment horizontal="center" vertical="center"/>
    </xf>
    <xf numFmtId="0" fontId="6" fillId="0" borderId="0" xfId="0" applyFont="1" applyFill="1" applyAlignment="1" applyProtection="1">
      <alignment horizontal="right"/>
    </xf>
    <xf numFmtId="0" fontId="5" fillId="0" borderId="0" xfId="0" applyFont="1" applyFill="1" applyBorder="1" applyAlignment="1" applyProtection="1">
      <alignment horizontal="center" vertical="center" wrapText="1" shrinkToFit="1"/>
    </xf>
    <xf numFmtId="0" fontId="7" fillId="0" borderId="1" xfId="0" applyFont="1" applyFill="1" applyBorder="1" applyAlignment="1" applyProtection="1"/>
    <xf numFmtId="0" fontId="6" fillId="0" borderId="1" xfId="0" applyFont="1" applyFill="1" applyBorder="1" applyProtection="1"/>
    <xf numFmtId="0" fontId="5" fillId="0" borderId="1" xfId="0" applyFont="1" applyFill="1" applyBorder="1" applyProtection="1"/>
    <xf numFmtId="0" fontId="7" fillId="0" borderId="1" xfId="0" applyFont="1" applyFill="1" applyBorder="1" applyAlignment="1" applyProtection="1">
      <alignment horizontal="right"/>
    </xf>
    <xf numFmtId="0" fontId="7" fillId="0" borderId="0" xfId="0" applyFont="1" applyFill="1" applyBorder="1" applyAlignment="1" applyProtection="1"/>
    <xf numFmtId="0" fontId="6" fillId="0" borderId="0" xfId="0" applyFont="1" applyFill="1" applyBorder="1" applyProtection="1"/>
    <xf numFmtId="0" fontId="7" fillId="0" borderId="0" xfId="0" applyFont="1" applyFill="1" applyBorder="1" applyAlignment="1" applyProtection="1">
      <alignment horizontal="right"/>
    </xf>
    <xf numFmtId="0" fontId="7" fillId="0" borderId="11" xfId="0" applyFont="1" applyFill="1" applyBorder="1" applyAlignment="1" applyProtection="1"/>
    <xf numFmtId="0" fontId="7" fillId="0" borderId="12" xfId="0" applyFont="1" applyFill="1" applyBorder="1" applyAlignment="1" applyProtection="1"/>
    <xf numFmtId="0" fontId="6" fillId="0" borderId="12" xfId="0" applyFont="1" applyFill="1" applyBorder="1" applyAlignment="1" applyProtection="1">
      <alignment horizontal="center"/>
    </xf>
    <xf numFmtId="0" fontId="6" fillId="0" borderId="4" xfId="0" applyFont="1" applyFill="1" applyBorder="1" applyAlignment="1" applyProtection="1">
      <alignment horizontal="left" vertical="center"/>
    </xf>
    <xf numFmtId="0" fontId="5" fillId="0" borderId="0" xfId="0" applyFont="1" applyFill="1" applyAlignment="1" applyProtection="1">
      <alignment vertical="center"/>
    </xf>
    <xf numFmtId="0" fontId="6" fillId="0" borderId="14"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5" fillId="0" borderId="19" xfId="0" applyFont="1" applyFill="1" applyBorder="1" applyAlignment="1" applyProtection="1">
      <alignment vertical="center"/>
    </xf>
    <xf numFmtId="4" fontId="5" fillId="0" borderId="63" xfId="0" applyNumberFormat="1" applyFont="1" applyFill="1" applyBorder="1" applyAlignment="1" applyProtection="1">
      <alignment vertical="center"/>
    </xf>
    <xf numFmtId="0" fontId="6" fillId="0" borderId="64"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5" fillId="0" borderId="23" xfId="0" applyFont="1" applyFill="1" applyBorder="1" applyAlignment="1" applyProtection="1">
      <alignment vertical="center"/>
    </xf>
    <xf numFmtId="0" fontId="6" fillId="0" borderId="6" xfId="0" applyFont="1" applyFill="1" applyBorder="1" applyAlignment="1" applyProtection="1">
      <alignment horizontal="left" vertical="center"/>
    </xf>
    <xf numFmtId="0" fontId="5" fillId="0" borderId="0" xfId="0" quotePrefix="1" applyFont="1" applyFill="1" applyAlignment="1" applyProtection="1">
      <alignment vertical="center"/>
    </xf>
    <xf numFmtId="4" fontId="5" fillId="0" borderId="0" xfId="0" applyNumberFormat="1" applyFont="1" applyFill="1" applyAlignment="1" applyProtection="1">
      <alignment vertical="center"/>
    </xf>
    <xf numFmtId="0" fontId="5" fillId="0" borderId="0" xfId="0" applyFont="1" applyFill="1" applyBorder="1" applyAlignment="1">
      <alignment horizontal="center" vertical="center" wrapText="1"/>
    </xf>
    <xf numFmtId="0" fontId="0" fillId="0" borderId="0" xfId="0" applyFill="1" applyAlignment="1">
      <alignment wrapText="1"/>
    </xf>
    <xf numFmtId="0" fontId="7" fillId="0" borderId="0" xfId="0" applyFont="1" applyFill="1" applyBorder="1" applyProtection="1"/>
    <xf numFmtId="14" fontId="5" fillId="0" borderId="28" xfId="0" applyNumberFormat="1" applyFont="1" applyFill="1" applyBorder="1" applyAlignment="1" applyProtection="1">
      <alignment horizontal="center"/>
      <protection locked="0"/>
    </xf>
    <xf numFmtId="0" fontId="7" fillId="0" borderId="5" xfId="0" applyFont="1" applyFill="1" applyBorder="1" applyAlignment="1" applyProtection="1">
      <alignment vertical="top"/>
    </xf>
    <xf numFmtId="14" fontId="0" fillId="0" borderId="0" xfId="0" applyNumberFormat="1"/>
    <xf numFmtId="0" fontId="6" fillId="0" borderId="0" xfId="0" applyFont="1" applyFill="1" applyBorder="1" applyAlignment="1" applyProtection="1">
      <alignment horizontal="left" vertical="center"/>
    </xf>
    <xf numFmtId="0" fontId="6" fillId="0" borderId="8" xfId="0" applyFont="1" applyFill="1" applyBorder="1" applyAlignment="1" applyProtection="1">
      <alignment horizontal="center" vertical="center"/>
    </xf>
    <xf numFmtId="0" fontId="22" fillId="0" borderId="23" xfId="0" applyFont="1" applyFill="1" applyBorder="1" applyAlignment="1" applyProtection="1">
      <protection locked="0"/>
    </xf>
    <xf numFmtId="0" fontId="5" fillId="0" borderId="52" xfId="0" applyFont="1" applyBorder="1"/>
    <xf numFmtId="0" fontId="5" fillId="0" borderId="52" xfId="0" applyFont="1" applyBorder="1" applyAlignment="1">
      <alignment horizontal="right"/>
    </xf>
    <xf numFmtId="0" fontId="12" fillId="0" borderId="52" xfId="0" applyFont="1" applyBorder="1" applyAlignment="1">
      <alignment horizontal="right"/>
    </xf>
    <xf numFmtId="0" fontId="16" fillId="0" borderId="52" xfId="0" applyFont="1" applyBorder="1" applyAlignment="1">
      <alignment horizontal="right"/>
    </xf>
    <xf numFmtId="0" fontId="5" fillId="0" borderId="54" xfId="0" applyFont="1" applyBorder="1"/>
    <xf numFmtId="0" fontId="5" fillId="5" borderId="69" xfId="0" applyFont="1" applyFill="1" applyBorder="1"/>
    <xf numFmtId="0" fontId="22" fillId="0" borderId="56" xfId="0" applyFont="1" applyFill="1" applyBorder="1" applyAlignment="1" applyProtection="1">
      <protection locked="0"/>
    </xf>
    <xf numFmtId="0" fontId="5" fillId="0" borderId="56" xfId="0" applyFont="1" applyBorder="1" applyAlignment="1">
      <alignment horizontal="right"/>
    </xf>
    <xf numFmtId="4" fontId="5" fillId="3" borderId="56" xfId="0" applyNumberFormat="1" applyFont="1" applyFill="1" applyBorder="1"/>
    <xf numFmtId="4" fontId="6" fillId="3" borderId="56" xfId="0" applyNumberFormat="1" applyFont="1" applyFill="1" applyBorder="1"/>
    <xf numFmtId="4" fontId="12" fillId="0" borderId="56" xfId="0" applyNumberFormat="1" applyFont="1" applyBorder="1"/>
    <xf numFmtId="4" fontId="12" fillId="0" borderId="56" xfId="0" applyNumberFormat="1" applyFont="1" applyBorder="1" applyAlignment="1">
      <alignment horizontal="right"/>
    </xf>
    <xf numFmtId="0" fontId="5" fillId="0" borderId="56" xfId="0" applyFont="1" applyBorder="1"/>
    <xf numFmtId="4" fontId="5" fillId="5" borderId="56" xfId="0" applyNumberFormat="1" applyFont="1" applyFill="1" applyBorder="1"/>
    <xf numFmtId="4" fontId="6" fillId="3" borderId="58" xfId="0" applyNumberFormat="1" applyFont="1" applyFill="1" applyBorder="1"/>
    <xf numFmtId="0" fontId="5" fillId="0" borderId="51" xfId="0" applyFont="1" applyBorder="1"/>
    <xf numFmtId="0" fontId="5" fillId="0" borderId="68" xfId="0" applyFont="1" applyBorder="1"/>
    <xf numFmtId="0" fontId="5" fillId="0" borderId="55" xfId="0" applyFont="1" applyBorder="1"/>
    <xf numFmtId="0" fontId="36" fillId="8" borderId="66" xfId="1" applyFont="1" applyFill="1" applyBorder="1" applyAlignment="1">
      <alignment horizontal="center" vertical="center" wrapText="1"/>
    </xf>
    <xf numFmtId="1" fontId="36" fillId="8" borderId="66" xfId="1" applyNumberFormat="1" applyFont="1" applyFill="1" applyBorder="1" applyAlignment="1">
      <alignment horizontal="center" vertical="center" wrapText="1"/>
    </xf>
    <xf numFmtId="0" fontId="35" fillId="8" borderId="66" xfId="1" applyFont="1" applyFill="1" applyBorder="1" applyAlignment="1">
      <alignment horizontal="center" vertical="center" wrapText="1"/>
    </xf>
    <xf numFmtId="43" fontId="35" fillId="8" borderId="66" xfId="2" applyFont="1" applyFill="1" applyBorder="1" applyAlignment="1">
      <alignment horizontal="center" vertical="center" wrapText="1"/>
    </xf>
    <xf numFmtId="9" fontId="41" fillId="8" borderId="66" xfId="2" applyNumberFormat="1" applyFont="1" applyFill="1" applyBorder="1" applyAlignment="1">
      <alignment horizontal="center" vertical="center" wrapText="1"/>
    </xf>
    <xf numFmtId="43" fontId="19" fillId="8" borderId="66" xfId="2" applyFont="1" applyFill="1" applyBorder="1" applyAlignment="1">
      <alignment horizontal="center" vertical="center" wrapText="1"/>
    </xf>
    <xf numFmtId="166" fontId="35" fillId="8" borderId="66" xfId="2" applyNumberFormat="1" applyFont="1" applyFill="1" applyBorder="1" applyAlignment="1">
      <alignment horizontal="center" vertical="center" wrapText="1"/>
    </xf>
    <xf numFmtId="0" fontId="35" fillId="8" borderId="67" xfId="1" applyFont="1" applyFill="1" applyBorder="1" applyAlignment="1">
      <alignment horizontal="center" vertical="center" wrapText="1"/>
    </xf>
    <xf numFmtId="0" fontId="2" fillId="11" borderId="0" xfId="1" applyFill="1"/>
    <xf numFmtId="0" fontId="35" fillId="12" borderId="0" xfId="1" applyFont="1" applyFill="1"/>
    <xf numFmtId="0" fontId="2" fillId="13" borderId="65" xfId="1" applyFill="1" applyBorder="1"/>
    <xf numFmtId="1" fontId="36" fillId="12" borderId="66" xfId="1" applyNumberFormat="1" applyFont="1" applyFill="1" applyBorder="1" applyAlignment="1">
      <alignment horizontal="center" vertical="center" wrapText="1"/>
    </xf>
    <xf numFmtId="43" fontId="36" fillId="12" borderId="66" xfId="2" applyFont="1" applyFill="1" applyBorder="1" applyAlignment="1">
      <alignment horizontal="center" vertical="center" wrapText="1"/>
    </xf>
    <xf numFmtId="0" fontId="2" fillId="11" borderId="0" xfId="1" applyNumberFormat="1" applyFill="1"/>
    <xf numFmtId="43" fontId="2" fillId="0" borderId="0" xfId="2" applyFont="1"/>
    <xf numFmtId="0" fontId="11" fillId="0" borderId="65" xfId="1" applyFont="1" applyFill="1" applyBorder="1"/>
    <xf numFmtId="0" fontId="33" fillId="0" borderId="65" xfId="0" applyFont="1" applyFill="1" applyBorder="1"/>
    <xf numFmtId="0" fontId="2" fillId="0" borderId="65" xfId="1" applyNumberFormat="1" applyFill="1" applyBorder="1"/>
    <xf numFmtId="0" fontId="2" fillId="0" borderId="0" xfId="1" applyFill="1" applyBorder="1"/>
    <xf numFmtId="0" fontId="2" fillId="0" borderId="0" xfId="1" applyNumberFormat="1" applyFill="1" applyBorder="1"/>
    <xf numFmtId="43" fontId="37" fillId="0" borderId="65" xfId="2" applyFont="1" applyFill="1" applyBorder="1" applyAlignment="1">
      <alignment horizontal="center"/>
    </xf>
    <xf numFmtId="0" fontId="2" fillId="0" borderId="65" xfId="2" applyNumberFormat="1" applyFont="1" applyFill="1" applyBorder="1"/>
    <xf numFmtId="1" fontId="2" fillId="0" borderId="0" xfId="2" applyNumberFormat="1" applyFont="1"/>
    <xf numFmtId="43" fontId="2" fillId="0" borderId="0" xfId="1" applyNumberFormat="1"/>
    <xf numFmtId="43" fontId="37" fillId="9" borderId="65" xfId="2" applyFont="1" applyFill="1" applyBorder="1" applyAlignment="1">
      <alignment horizontal="center"/>
    </xf>
    <xf numFmtId="43" fontId="38" fillId="9" borderId="65" xfId="2" applyFont="1" applyFill="1" applyBorder="1" applyAlignment="1">
      <alignment horizontal="center"/>
    </xf>
    <xf numFmtId="43" fontId="38" fillId="0" borderId="65" xfId="2" applyFont="1" applyFill="1" applyBorder="1"/>
    <xf numFmtId="43" fontId="38" fillId="0" borderId="65" xfId="2" applyFont="1" applyFill="1" applyBorder="1" applyAlignment="1">
      <alignment horizontal="center" vertical="center"/>
    </xf>
    <xf numFmtId="43" fontId="2" fillId="0" borderId="0" xfId="2" applyFont="1" applyFill="1"/>
    <xf numFmtId="166" fontId="2" fillId="0" borderId="0" xfId="2" applyNumberFormat="1" applyFont="1" applyFill="1"/>
    <xf numFmtId="43" fontId="37" fillId="0" borderId="65" xfId="2" applyFont="1" applyFill="1" applyBorder="1" applyAlignment="1">
      <alignment horizontal="center" vertical="center"/>
    </xf>
    <xf numFmtId="43" fontId="38" fillId="0" borderId="0" xfId="2" applyFont="1" applyFill="1" applyBorder="1" applyAlignment="1">
      <alignment horizontal="center"/>
    </xf>
    <xf numFmtId="43" fontId="42" fillId="0" borderId="65" xfId="2" applyFont="1" applyFill="1" applyBorder="1"/>
    <xf numFmtId="43" fontId="42" fillId="0" borderId="65" xfId="2" applyFont="1" applyFill="1" applyBorder="1" applyAlignment="1">
      <alignment horizontal="center"/>
    </xf>
    <xf numFmtId="43" fontId="38" fillId="0" borderId="65" xfId="6" applyNumberFormat="1" applyFont="1" applyFill="1" applyBorder="1" applyAlignment="1"/>
    <xf numFmtId="0" fontId="2" fillId="6" borderId="66" xfId="1" applyFill="1" applyBorder="1"/>
    <xf numFmtId="43" fontId="2" fillId="6" borderId="65" xfId="1" applyNumberFormat="1" applyFill="1" applyBorder="1"/>
    <xf numFmtId="9" fontId="38" fillId="9" borderId="65" xfId="6" applyFont="1" applyFill="1" applyBorder="1" applyAlignment="1"/>
    <xf numFmtId="43" fontId="2" fillId="0" borderId="65" xfId="1" applyNumberFormat="1" applyFill="1" applyBorder="1"/>
    <xf numFmtId="166" fontId="2" fillId="0" borderId="65" xfId="1" applyNumberFormat="1" applyFill="1" applyBorder="1"/>
    <xf numFmtId="0" fontId="22" fillId="0" borderId="6" xfId="0" applyFont="1" applyFill="1" applyBorder="1" applyProtection="1">
      <protection locked="0"/>
    </xf>
    <xf numFmtId="0" fontId="6" fillId="0" borderId="0" xfId="0" applyFont="1" applyFill="1" applyBorder="1" applyAlignment="1" applyProtection="1">
      <alignment horizontal="left" vertical="center"/>
    </xf>
    <xf numFmtId="4" fontId="5" fillId="0" borderId="6" xfId="0" applyNumberFormat="1" applyFont="1" applyFill="1" applyBorder="1" applyProtection="1">
      <protection locked="0"/>
    </xf>
    <xf numFmtId="4" fontId="21" fillId="5" borderId="26" xfId="0" applyNumberFormat="1" applyFont="1" applyFill="1" applyBorder="1"/>
    <xf numFmtId="0" fontId="44" fillId="3" borderId="23" xfId="0" applyNumberFormat="1" applyFont="1" applyFill="1" applyBorder="1" applyAlignment="1">
      <alignment horizontal="right"/>
    </xf>
    <xf numFmtId="4" fontId="44" fillId="3" borderId="23" xfId="0" applyNumberFormat="1" applyFont="1" applyFill="1" applyBorder="1"/>
    <xf numFmtId="0" fontId="6" fillId="0" borderId="7" xfId="0" applyFont="1" applyFill="1" applyBorder="1" applyAlignment="1" applyProtection="1">
      <alignment horizontal="center" vertical="center"/>
    </xf>
    <xf numFmtId="4" fontId="6" fillId="0" borderId="7" xfId="0" applyNumberFormat="1" applyFont="1" applyFill="1" applyBorder="1" applyAlignment="1" applyProtection="1">
      <alignment vertical="center"/>
    </xf>
    <xf numFmtId="165" fontId="6" fillId="0" borderId="20" xfId="0" applyNumberFormat="1" applyFont="1" applyFill="1" applyBorder="1" applyAlignment="1" applyProtection="1">
      <alignment horizontal="center" vertical="center"/>
    </xf>
    <xf numFmtId="4" fontId="6" fillId="0" borderId="0" xfId="0" applyNumberFormat="1" applyFont="1" applyFill="1" applyBorder="1" applyAlignment="1" applyProtection="1">
      <alignment horizontal="center" vertical="center"/>
    </xf>
    <xf numFmtId="0" fontId="5" fillId="0" borderId="23" xfId="0" applyFont="1" applyFill="1" applyBorder="1" applyAlignment="1" applyProtection="1"/>
    <xf numFmtId="0" fontId="5" fillId="0" borderId="0" xfId="0" applyFont="1" applyBorder="1" applyAlignment="1">
      <alignment horizontal="left" vertical="center"/>
    </xf>
    <xf numFmtId="4" fontId="12" fillId="0" borderId="0" xfId="0" applyNumberFormat="1" applyFont="1" applyFill="1" applyBorder="1" applyProtection="1"/>
    <xf numFmtId="4" fontId="6" fillId="3" borderId="0" xfId="0" applyNumberFormat="1" applyFont="1" applyFill="1" applyBorder="1" applyProtection="1"/>
    <xf numFmtId="4" fontId="5" fillId="0" borderId="0" xfId="0" applyNumberFormat="1" applyFont="1" applyBorder="1" applyAlignment="1" applyProtection="1">
      <alignment horizontal="center"/>
    </xf>
    <xf numFmtId="165" fontId="5" fillId="0" borderId="0" xfId="0" applyNumberFormat="1" applyFont="1" applyFill="1" applyAlignment="1" applyProtection="1">
      <alignment vertical="center"/>
    </xf>
    <xf numFmtId="0" fontId="12" fillId="7" borderId="18" xfId="0" applyNumberFormat="1" applyFont="1" applyFill="1" applyBorder="1" applyAlignment="1" applyProtection="1">
      <alignment horizontal="right" vertical="center"/>
    </xf>
    <xf numFmtId="0" fontId="12" fillId="0" borderId="0" xfId="0" applyNumberFormat="1" applyFont="1" applyFill="1" applyAlignment="1">
      <alignment horizontal="right"/>
    </xf>
    <xf numFmtId="0" fontId="12" fillId="0" borderId="0" xfId="0" applyNumberFormat="1" applyFont="1" applyAlignment="1">
      <alignment horizontal="right"/>
    </xf>
    <xf numFmtId="0" fontId="16" fillId="0" borderId="1" xfId="0" applyFont="1" applyFill="1" applyBorder="1" applyAlignment="1">
      <alignment horizontal="right"/>
    </xf>
    <xf numFmtId="0" fontId="6" fillId="0" borderId="0" xfId="0" applyFont="1" applyFill="1" applyAlignment="1">
      <alignment horizontal="right" vertical="center"/>
    </xf>
    <xf numFmtId="0" fontId="17" fillId="0" borderId="0" xfId="0" applyFont="1" applyFill="1" applyAlignment="1">
      <alignment horizontal="center" vertical="center"/>
    </xf>
    <xf numFmtId="0" fontId="6" fillId="0" borderId="0" xfId="0" applyFont="1" applyFill="1" applyAlignment="1">
      <alignment horizontal="right"/>
    </xf>
    <xf numFmtId="0" fontId="16" fillId="0" borderId="0" xfId="0" applyNumberFormat="1" applyFont="1" applyFill="1" applyAlignment="1">
      <alignment horizontal="right"/>
    </xf>
    <xf numFmtId="0" fontId="29" fillId="0" borderId="0" xfId="0" applyFont="1" applyFill="1" applyAlignment="1">
      <alignment horizontal="right" vertical="center"/>
    </xf>
    <xf numFmtId="0" fontId="24" fillId="0" borderId="0" xfId="0" applyFont="1" applyFill="1" applyAlignment="1" applyProtection="1">
      <alignment horizontal="center" vertical="center"/>
      <protection locked="0"/>
    </xf>
    <xf numFmtId="0" fontId="24" fillId="0" borderId="0" xfId="0" applyFont="1" applyFill="1"/>
    <xf numFmtId="0" fontId="24" fillId="0" borderId="0" xfId="0" applyFont="1" applyFill="1" applyAlignment="1">
      <alignment horizontal="center" vertical="center" wrapText="1" shrinkToFit="1"/>
    </xf>
    <xf numFmtId="0" fontId="29" fillId="0" borderId="0" xfId="0" applyFont="1" applyFill="1" applyAlignment="1">
      <alignment horizontal="left" vertical="center"/>
    </xf>
    <xf numFmtId="0" fontId="24" fillId="0" borderId="0" xfId="0" applyFont="1" applyFill="1" applyAlignment="1">
      <alignment horizontal="center"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19" fillId="0" borderId="0" xfId="0" applyFont="1" applyFill="1" applyAlignment="1">
      <alignment horizontal="right"/>
    </xf>
    <xf numFmtId="0" fontId="19" fillId="0" borderId="1" xfId="0" applyFont="1" applyFill="1" applyBorder="1"/>
    <xf numFmtId="0" fontId="18" fillId="0" borderId="1" xfId="0" applyFont="1" applyFill="1" applyBorder="1"/>
    <xf numFmtId="0" fontId="19" fillId="0" borderId="1" xfId="0" applyFont="1" applyFill="1" applyBorder="1" applyAlignment="1">
      <alignment horizontal="right"/>
    </xf>
    <xf numFmtId="0" fontId="19" fillId="0" borderId="1" xfId="0" applyFont="1" applyFill="1" applyBorder="1" applyAlignment="1">
      <alignment horizontal="left"/>
    </xf>
    <xf numFmtId="0" fontId="16" fillId="0" borderId="1" xfId="0" applyFont="1" applyFill="1" applyBorder="1" applyAlignment="1">
      <alignment horizontal="right" vertical="center"/>
    </xf>
    <xf numFmtId="0" fontId="18" fillId="0" borderId="0" xfId="0" applyFont="1" applyFill="1"/>
    <xf numFmtId="0" fontId="7" fillId="0" borderId="0" xfId="0" applyFont="1" applyFill="1"/>
    <xf numFmtId="0" fontId="6" fillId="0" borderId="0" xfId="0" applyFont="1" applyFill="1"/>
    <xf numFmtId="0" fontId="7" fillId="0" borderId="0" xfId="0" applyFont="1" applyFill="1" applyAlignment="1">
      <alignment horizontal="right"/>
    </xf>
    <xf numFmtId="0" fontId="29" fillId="0" borderId="0" xfId="0" applyFont="1" applyFill="1" applyAlignment="1">
      <alignment horizontal="right"/>
    </xf>
    <xf numFmtId="0" fontId="29" fillId="0" borderId="11" xfId="0" applyFont="1" applyFill="1" applyBorder="1"/>
    <xf numFmtId="0" fontId="29" fillId="0" borderId="12" xfId="0" applyFont="1" applyFill="1" applyBorder="1"/>
    <xf numFmtId="0" fontId="29" fillId="0" borderId="12" xfId="0" applyFont="1" applyFill="1" applyBorder="1" applyAlignment="1">
      <alignment horizontal="center"/>
    </xf>
    <xf numFmtId="0" fontId="24" fillId="0" borderId="12" xfId="0" applyFont="1" applyFill="1" applyBorder="1"/>
    <xf numFmtId="0" fontId="29" fillId="0" borderId="0" xfId="0" applyFont="1" applyFill="1" applyAlignment="1">
      <alignment horizontal="center"/>
    </xf>
    <xf numFmtId="0" fontId="29" fillId="0" borderId="4" xfId="0" applyFont="1" applyFill="1" applyBorder="1" applyAlignment="1">
      <alignment horizontal="left" vertical="center"/>
    </xf>
    <xf numFmtId="0" fontId="29" fillId="0" borderId="0" xfId="0" applyFont="1" applyFill="1" applyAlignment="1">
      <alignment horizontal="center" vertical="center"/>
    </xf>
    <xf numFmtId="0" fontId="29"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29" fillId="0" borderId="5" xfId="0" applyFont="1" applyFill="1" applyBorder="1" applyAlignment="1">
      <alignment horizontal="center" vertical="center"/>
    </xf>
    <xf numFmtId="0" fontId="24" fillId="0" borderId="0" xfId="0" applyFont="1" applyFill="1" applyAlignment="1">
      <alignment vertical="center"/>
    </xf>
    <xf numFmtId="0" fontId="29" fillId="0" borderId="14" xfId="0" applyFont="1" applyFill="1" applyBorder="1" applyAlignment="1">
      <alignment horizontal="left" vertical="center"/>
    </xf>
    <xf numFmtId="0" fontId="29" fillId="0" borderId="19" xfId="0" applyFont="1" applyFill="1" applyBorder="1" applyAlignment="1">
      <alignment horizontal="left" vertical="center"/>
    </xf>
    <xf numFmtId="0" fontId="29" fillId="0" borderId="6" xfId="0" applyFont="1" applyFill="1" applyBorder="1" applyAlignment="1">
      <alignment vertical="center"/>
    </xf>
    <xf numFmtId="4" fontId="29" fillId="0" borderId="6" xfId="0" applyNumberFormat="1" applyFont="1" applyFill="1" applyBorder="1" applyAlignment="1">
      <alignment vertical="center"/>
    </xf>
    <xf numFmtId="4" fontId="29" fillId="0" borderId="21" xfId="0" applyNumberFormat="1" applyFont="1" applyFill="1" applyBorder="1" applyAlignment="1">
      <alignment vertical="center"/>
    </xf>
    <xf numFmtId="0" fontId="24" fillId="0" borderId="19" xfId="0" applyFont="1" applyFill="1" applyBorder="1" applyAlignment="1">
      <alignment vertical="center"/>
    </xf>
    <xf numFmtId="0" fontId="29" fillId="0" borderId="0" xfId="0" applyFont="1" applyFill="1" applyAlignment="1">
      <alignment vertical="center"/>
    </xf>
    <xf numFmtId="0" fontId="29" fillId="0" borderId="0" xfId="0" applyFont="1" applyFill="1" applyAlignment="1">
      <alignment horizontal="center" vertical="center" wrapText="1"/>
    </xf>
    <xf numFmtId="3" fontId="29" fillId="0" borderId="6" xfId="0" applyNumberFormat="1" applyFont="1" applyFill="1" applyBorder="1" applyAlignment="1">
      <alignment vertical="center"/>
    </xf>
    <xf numFmtId="0" fontId="29" fillId="0" borderId="0" xfId="0" applyFont="1" applyFill="1" applyBorder="1" applyAlignment="1">
      <alignment horizontal="left" vertical="center"/>
    </xf>
    <xf numFmtId="3" fontId="29" fillId="0" borderId="0" xfId="0" applyNumberFormat="1" applyFont="1" applyFill="1" applyBorder="1" applyAlignment="1">
      <alignment vertical="center"/>
    </xf>
    <xf numFmtId="4" fontId="29" fillId="0" borderId="0" xfId="0" applyNumberFormat="1" applyFont="1" applyFill="1" applyBorder="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4" fontId="29" fillId="0" borderId="0" xfId="0" applyNumberFormat="1" applyFont="1" applyFill="1" applyAlignment="1">
      <alignment vertical="center"/>
    </xf>
    <xf numFmtId="4" fontId="24" fillId="0" borderId="0" xfId="0" applyNumberFormat="1" applyFont="1" applyFill="1" applyAlignment="1">
      <alignment vertical="center" wrapText="1"/>
    </xf>
    <xf numFmtId="0" fontId="29" fillId="0" borderId="27" xfId="0" applyFont="1" applyFill="1" applyBorder="1" applyAlignment="1">
      <alignment horizontal="left" vertical="center"/>
    </xf>
    <xf numFmtId="0" fontId="29" fillId="0" borderId="23" xfId="0" applyFont="1" applyFill="1" applyBorder="1" applyAlignment="1">
      <alignment horizontal="left" vertical="center"/>
    </xf>
    <xf numFmtId="0" fontId="29" fillId="0" borderId="26" xfId="0" applyFont="1" applyFill="1" applyBorder="1" applyAlignment="1">
      <alignment horizontal="left" vertical="center"/>
    </xf>
    <xf numFmtId="4" fontId="29" fillId="0" borderId="27" xfId="0" applyNumberFormat="1" applyFont="1" applyFill="1" applyBorder="1" applyAlignment="1">
      <alignment vertical="center"/>
    </xf>
    <xf numFmtId="4" fontId="29" fillId="0" borderId="22" xfId="0" applyNumberFormat="1" applyFont="1" applyFill="1" applyBorder="1" applyAlignment="1">
      <alignment vertical="center"/>
    </xf>
    <xf numFmtId="4" fontId="29" fillId="0" borderId="23" xfId="0" applyNumberFormat="1" applyFont="1" applyFill="1" applyBorder="1" applyAlignment="1">
      <alignment vertical="center"/>
    </xf>
    <xf numFmtId="0" fontId="24" fillId="0" borderId="23" xfId="0" applyFont="1" applyFill="1" applyBorder="1" applyAlignment="1">
      <alignment vertical="center"/>
    </xf>
    <xf numFmtId="0" fontId="24" fillId="0" borderId="23" xfId="0" applyFont="1" applyFill="1" applyBorder="1" applyAlignment="1">
      <alignment vertical="center" wrapText="1"/>
    </xf>
    <xf numFmtId="0" fontId="24" fillId="0" borderId="26" xfId="0" applyFont="1" applyFill="1" applyBorder="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right" vertical="center" wrapText="1"/>
    </xf>
    <xf numFmtId="4" fontId="29" fillId="0" borderId="0" xfId="0" applyNumberFormat="1" applyFont="1" applyFill="1" applyAlignment="1" applyProtection="1">
      <alignment horizontal="right" vertical="center" wrapText="1"/>
      <protection locked="0"/>
    </xf>
    <xf numFmtId="0" fontId="24" fillId="0" borderId="1" xfId="0" applyFont="1" applyFill="1" applyBorder="1" applyAlignment="1">
      <alignment horizontal="right"/>
    </xf>
    <xf numFmtId="0" fontId="29" fillId="0" borderId="0" xfId="0" applyFont="1" applyFill="1"/>
    <xf numFmtId="43" fontId="24" fillId="0" borderId="0" xfId="2" applyFont="1" applyFill="1" applyAlignment="1">
      <alignment vertical="center"/>
    </xf>
    <xf numFmtId="164" fontId="29" fillId="0" borderId="0" xfId="0" applyNumberFormat="1" applyFont="1" applyFill="1" applyAlignment="1">
      <alignment vertical="center"/>
    </xf>
    <xf numFmtId="0" fontId="24" fillId="0" borderId="0" xfId="0" applyFont="1" applyFill="1" applyAlignment="1">
      <alignment horizontal="right" vertical="center"/>
    </xf>
    <xf numFmtId="43" fontId="24" fillId="0" borderId="0" xfId="2" applyFont="1" applyFill="1" applyAlignment="1">
      <alignment horizontal="right"/>
    </xf>
    <xf numFmtId="0" fontId="7" fillId="0" borderId="1" xfId="0" applyFont="1" applyFill="1" applyBorder="1"/>
    <xf numFmtId="0" fontId="6" fillId="0" borderId="1" xfId="0" applyFont="1" applyFill="1" applyBorder="1"/>
    <xf numFmtId="0" fontId="5" fillId="0" borderId="1" xfId="0" applyFont="1" applyFill="1" applyBorder="1"/>
    <xf numFmtId="0" fontId="7" fillId="0" borderId="1" xfId="0" applyFont="1" applyFill="1" applyBorder="1" applyAlignment="1">
      <alignment horizontal="right"/>
    </xf>
    <xf numFmtId="0" fontId="5" fillId="0" borderId="7" xfId="0" applyFont="1" applyFill="1" applyBorder="1" applyAlignment="1">
      <alignment vertical="center" wrapText="1"/>
    </xf>
    <xf numFmtId="0" fontId="5" fillId="0" borderId="23"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horizontal="center"/>
    </xf>
    <xf numFmtId="0" fontId="7" fillId="0" borderId="0" xfId="0" applyFont="1" applyFill="1" applyAlignment="1">
      <alignment horizontal="center" vertical="top"/>
    </xf>
    <xf numFmtId="0" fontId="7" fillId="0" borderId="0" xfId="0" applyFont="1" applyFill="1" applyAlignment="1">
      <alignment vertical="top"/>
    </xf>
    <xf numFmtId="0" fontId="5" fillId="0" borderId="21" xfId="0" applyFont="1" applyFill="1" applyBorder="1"/>
    <xf numFmtId="0" fontId="7" fillId="0" borderId="5" xfId="0" applyFont="1" applyFill="1" applyBorder="1" applyAlignment="1">
      <alignment horizontal="center" vertical="top"/>
    </xf>
    <xf numFmtId="0" fontId="5" fillId="0" borderId="5" xfId="0" applyFont="1" applyFill="1" applyBorder="1"/>
    <xf numFmtId="0" fontId="0" fillId="0" borderId="7" xfId="0" applyFont="1" applyFill="1" applyBorder="1" applyAlignment="1">
      <alignment horizontal="center"/>
    </xf>
    <xf numFmtId="0" fontId="7" fillId="0" borderId="5" xfId="0" applyFont="1" applyFill="1" applyBorder="1" applyAlignment="1">
      <alignment vertical="top"/>
    </xf>
    <xf numFmtId="0" fontId="6" fillId="0" borderId="0" xfId="0" applyFont="1" applyFill="1" applyAlignment="1">
      <alignment horizontal="left" wrapText="1"/>
    </xf>
    <xf numFmtId="0" fontId="5" fillId="0" borderId="0" xfId="0" applyFont="1" applyFill="1" applyAlignment="1">
      <alignment horizontal="left" wrapText="1"/>
    </xf>
    <xf numFmtId="1" fontId="7" fillId="0" borderId="0" xfId="0" applyNumberFormat="1" applyFont="1" applyFill="1" applyAlignment="1">
      <alignment horizontal="right" vertical="center" wrapText="1"/>
    </xf>
    <xf numFmtId="1" fontId="6" fillId="0" borderId="0" xfId="0" applyNumberFormat="1" applyFont="1" applyFill="1" applyAlignment="1">
      <alignment horizontal="right" vertical="center" wrapText="1"/>
    </xf>
    <xf numFmtId="9" fontId="24" fillId="0" borderId="0" xfId="0" applyNumberFormat="1" applyFont="1" applyFill="1" applyAlignment="1">
      <alignment vertical="center"/>
    </xf>
    <xf numFmtId="0" fontId="45" fillId="0" borderId="0" xfId="0" applyFont="1" applyFill="1" applyAlignment="1">
      <alignment horizontal="center" vertical="center"/>
    </xf>
    <xf numFmtId="0" fontId="29" fillId="0" borderId="62" xfId="0" applyFont="1" applyFill="1" applyBorder="1" applyAlignment="1">
      <alignment vertical="center"/>
    </xf>
    <xf numFmtId="0" fontId="29" fillId="0" borderId="61" xfId="0" applyFont="1" applyFill="1" applyBorder="1" applyAlignment="1">
      <alignment vertical="center"/>
    </xf>
    <xf numFmtId="0" fontId="24" fillId="0" borderId="61" xfId="0" applyFont="1" applyFill="1" applyBorder="1" applyAlignment="1">
      <alignment vertical="center"/>
    </xf>
    <xf numFmtId="0" fontId="29" fillId="0" borderId="61" xfId="0" applyFont="1" applyFill="1" applyBorder="1" applyAlignment="1">
      <alignment horizontal="right" vertical="center"/>
    </xf>
    <xf numFmtId="4" fontId="29" fillId="0" borderId="50" xfId="0" applyNumberFormat="1" applyFont="1" applyFill="1" applyBorder="1" applyAlignment="1">
      <alignment horizontal="right" vertical="center"/>
    </xf>
    <xf numFmtId="0" fontId="12" fillId="0" borderId="0" xfId="0" applyFont="1"/>
    <xf numFmtId="0" fontId="12" fillId="0" borderId="0" xfId="0" applyFont="1" applyFill="1" applyProtection="1"/>
    <xf numFmtId="0" fontId="12" fillId="0" borderId="0" xfId="0" applyFont="1" applyFill="1" applyAlignment="1">
      <alignment vertical="center"/>
    </xf>
    <xf numFmtId="4" fontId="18" fillId="0" borderId="0" xfId="0" applyNumberFormat="1" applyFont="1"/>
    <xf numFmtId="4" fontId="18" fillId="4" borderId="0" xfId="0" applyNumberFormat="1" applyFont="1" applyFill="1"/>
    <xf numFmtId="43" fontId="18" fillId="0" borderId="0" xfId="0" applyNumberFormat="1" applyFont="1"/>
    <xf numFmtId="9" fontId="18" fillId="0" borderId="0" xfId="0" applyNumberFormat="1" applyFont="1"/>
    <xf numFmtId="14" fontId="18" fillId="0" borderId="0" xfId="0" applyNumberFormat="1" applyFont="1"/>
    <xf numFmtId="0" fontId="18" fillId="0" borderId="0" xfId="0" applyFont="1" applyAlignment="1">
      <alignment horizontal="right"/>
    </xf>
    <xf numFmtId="0" fontId="18" fillId="14" borderId="0" xfId="0" applyFont="1" applyFill="1"/>
    <xf numFmtId="0" fontId="5" fillId="0" borderId="0" xfId="0" applyNumberFormat="1" applyFont="1"/>
    <xf numFmtId="0" fontId="22" fillId="0" borderId="0" xfId="0" applyNumberFormat="1" applyFont="1"/>
    <xf numFmtId="43" fontId="18" fillId="0" borderId="0" xfId="2" applyFont="1"/>
    <xf numFmtId="0" fontId="12" fillId="0" borderId="0" xfId="0" applyFont="1" applyProtection="1"/>
    <xf numFmtId="0" fontId="5" fillId="0" borderId="0" xfId="0" applyFont="1" applyBorder="1" applyAlignment="1" applyProtection="1">
      <alignment vertical="center"/>
    </xf>
    <xf numFmtId="0" fontId="5" fillId="0" borderId="23" xfId="0" applyFont="1" applyFill="1" applyBorder="1" applyAlignment="1" applyProtection="1">
      <alignment horizontal="right"/>
    </xf>
    <xf numFmtId="4" fontId="5" fillId="0" borderId="26" xfId="0" applyNumberFormat="1" applyFont="1" applyFill="1" applyBorder="1" applyProtection="1"/>
    <xf numFmtId="0" fontId="3" fillId="0" borderId="0" xfId="0" applyFont="1" applyAlignment="1">
      <alignment horizontal="right"/>
    </xf>
    <xf numFmtId="0" fontId="46" fillId="0" borderId="12" xfId="0" applyFont="1" applyBorder="1"/>
    <xf numFmtId="43" fontId="46" fillId="0" borderId="0" xfId="2" applyFont="1" applyBorder="1"/>
    <xf numFmtId="43" fontId="2" fillId="0" borderId="0" xfId="0" applyNumberFormat="1" applyFont="1" applyFill="1" applyBorder="1" applyAlignment="1" applyProtection="1"/>
    <xf numFmtId="0" fontId="21" fillId="5" borderId="0" xfId="0" applyFont="1" applyFill="1" applyBorder="1" applyProtection="1"/>
    <xf numFmtId="4" fontId="21" fillId="5" borderId="0" xfId="0" applyNumberFormat="1" applyFont="1" applyFill="1" applyBorder="1" applyProtection="1"/>
    <xf numFmtId="49" fontId="3" fillId="0" borderId="0" xfId="0" applyNumberFormat="1" applyFont="1"/>
    <xf numFmtId="0" fontId="20" fillId="0" borderId="0" xfId="4" quotePrefix="1"/>
    <xf numFmtId="0" fontId="20" fillId="0" borderId="0" xfId="4" quotePrefix="1" applyFill="1" applyBorder="1" applyAlignment="1" applyProtection="1">
      <alignment vertical="center" wrapText="1"/>
    </xf>
    <xf numFmtId="0" fontId="12" fillId="0" borderId="0" xfId="0" applyFont="1" applyAlignment="1">
      <alignment horizontal="right"/>
    </xf>
    <xf numFmtId="0" fontId="5" fillId="3" borderId="12" xfId="0" applyFont="1" applyFill="1" applyBorder="1" applyProtection="1">
      <protection locked="0"/>
    </xf>
    <xf numFmtId="4" fontId="6" fillId="0" borderId="0" xfId="0" applyNumberFormat="1" applyFont="1" applyFill="1" applyBorder="1" applyProtection="1">
      <protection locked="0"/>
    </xf>
    <xf numFmtId="43" fontId="2" fillId="0" borderId="0" xfId="5" applyFont="1"/>
    <xf numFmtId="1" fontId="2" fillId="0" borderId="0" xfId="5" applyNumberFormat="1" applyFont="1"/>
    <xf numFmtId="0" fontId="18" fillId="0" borderId="0" xfId="0" applyFont="1" applyAlignment="1">
      <alignment horizontal="left" wrapText="1"/>
    </xf>
    <xf numFmtId="0" fontId="17" fillId="7" borderId="47" xfId="0" applyFont="1" applyFill="1" applyBorder="1" applyAlignment="1" applyProtection="1">
      <alignment horizontal="center" wrapText="1"/>
    </xf>
    <xf numFmtId="0" fontId="17" fillId="7" borderId="7" xfId="0" applyFont="1" applyFill="1" applyBorder="1" applyAlignment="1" applyProtection="1">
      <alignment horizontal="center"/>
    </xf>
    <xf numFmtId="0" fontId="17" fillId="7" borderId="3" xfId="0" applyFont="1" applyFill="1" applyBorder="1" applyAlignment="1" applyProtection="1">
      <alignment horizontal="center"/>
    </xf>
    <xf numFmtId="0" fontId="18" fillId="4" borderId="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0" xfId="0" applyFont="1" applyFill="1" applyBorder="1" applyAlignment="1">
      <alignment horizontal="center" vertical="center"/>
    </xf>
    <xf numFmtId="0" fontId="18" fillId="0" borderId="0" xfId="0" applyFont="1" applyAlignment="1">
      <alignment horizontal="left" vertical="top"/>
    </xf>
    <xf numFmtId="0" fontId="18" fillId="0" borderId="0" xfId="0" applyFont="1" applyAlignment="1">
      <alignment horizontal="center" wrapText="1"/>
    </xf>
    <xf numFmtId="4" fontId="5" fillId="0" borderId="39" xfId="0" applyNumberFormat="1" applyFont="1" applyBorder="1" applyAlignment="1">
      <alignment horizontal="center" vertical="center"/>
    </xf>
    <xf numFmtId="4" fontId="5" fillId="0" borderId="40" xfId="0" applyNumberFormat="1" applyFont="1" applyBorder="1" applyAlignment="1">
      <alignment horizontal="center" vertical="center"/>
    </xf>
    <xf numFmtId="4" fontId="5" fillId="0" borderId="41" xfId="0" applyNumberFormat="1" applyFont="1" applyBorder="1" applyAlignment="1">
      <alignment horizontal="center" vertical="center"/>
    </xf>
    <xf numFmtId="0" fontId="5" fillId="0" borderId="11" xfId="0" applyFont="1" applyBorder="1" applyAlignment="1">
      <alignment horizontal="left" vertical="center"/>
    </xf>
    <xf numFmtId="0" fontId="5" fillId="0" borderId="4" xfId="0" applyFont="1" applyBorder="1" applyAlignment="1">
      <alignment horizontal="left" vertical="center"/>
    </xf>
    <xf numFmtId="0" fontId="5" fillId="0" borderId="22" xfId="0" applyFont="1" applyBorder="1" applyAlignment="1">
      <alignment horizontal="lef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12" fillId="0" borderId="0" xfId="0" applyFont="1" applyBorder="1" applyAlignment="1">
      <alignment horizontal="center" vertical="center" wrapText="1"/>
    </xf>
    <xf numFmtId="4" fontId="25" fillId="0" borderId="53" xfId="0" applyNumberFormat="1" applyFont="1" applyBorder="1" applyAlignment="1">
      <alignment horizontal="center" vertical="center"/>
    </xf>
    <xf numFmtId="4" fontId="25" fillId="0" borderId="57" xfId="0" applyNumberFormat="1" applyFont="1" applyBorder="1" applyAlignment="1">
      <alignment horizontal="center" vertical="center"/>
    </xf>
    <xf numFmtId="4" fontId="25" fillId="0" borderId="54" xfId="0" applyNumberFormat="1" applyFont="1" applyBorder="1" applyAlignment="1">
      <alignment horizontal="center" vertical="center"/>
    </xf>
    <xf numFmtId="4" fontId="25" fillId="0" borderId="58" xfId="0" applyNumberFormat="1" applyFont="1" applyBorder="1" applyAlignment="1">
      <alignment horizontal="center" vertical="center"/>
    </xf>
    <xf numFmtId="4" fontId="5" fillId="0" borderId="13" xfId="0" applyNumberFormat="1" applyFont="1" applyBorder="1" applyAlignment="1">
      <alignment horizontal="center" vertical="center"/>
    </xf>
    <xf numFmtId="4" fontId="5" fillId="0" borderId="5" xfId="0" applyNumberFormat="1" applyFont="1" applyBorder="1" applyAlignment="1">
      <alignment horizontal="center" vertical="center"/>
    </xf>
    <xf numFmtId="4" fontId="5" fillId="0" borderId="26" xfId="0" applyNumberFormat="1" applyFont="1" applyBorder="1" applyAlignment="1">
      <alignment horizontal="center" vertical="center"/>
    </xf>
    <xf numFmtId="4" fontId="5" fillId="0" borderId="70" xfId="0" applyNumberFormat="1" applyFont="1" applyBorder="1" applyAlignment="1">
      <alignment horizontal="center" vertical="center"/>
    </xf>
    <xf numFmtId="4" fontId="5" fillId="0" borderId="71" xfId="0" applyNumberFormat="1" applyFont="1" applyBorder="1" applyAlignment="1">
      <alignment horizontal="center" vertical="center"/>
    </xf>
    <xf numFmtId="4" fontId="5" fillId="0" borderId="72" xfId="0" applyNumberFormat="1" applyFont="1" applyBorder="1" applyAlignment="1">
      <alignment horizontal="center" vertical="center"/>
    </xf>
    <xf numFmtId="0" fontId="5" fillId="0" borderId="51" xfId="0" applyFont="1" applyBorder="1" applyAlignment="1">
      <alignment horizontal="left" vertical="center"/>
    </xf>
    <xf numFmtId="0" fontId="5" fillId="0" borderId="68" xfId="0" applyFont="1" applyBorder="1" applyAlignment="1">
      <alignment horizontal="left" vertical="center"/>
    </xf>
    <xf numFmtId="0" fontId="5" fillId="0" borderId="55" xfId="0" applyFont="1" applyBorder="1" applyAlignment="1">
      <alignment horizontal="left" vertical="center"/>
    </xf>
    <xf numFmtId="0" fontId="5" fillId="0" borderId="0" xfId="0" applyFont="1" applyBorder="1" applyAlignment="1">
      <alignment horizontal="center" wrapText="1"/>
    </xf>
    <xf numFmtId="0" fontId="5" fillId="0" borderId="0" xfId="0" applyFont="1" applyAlignment="1">
      <alignment horizontal="center" vertical="center" wrapText="1"/>
    </xf>
    <xf numFmtId="0" fontId="12" fillId="0" borderId="40" xfId="0" applyFont="1" applyBorder="1" applyAlignment="1">
      <alignment horizontal="center" vertical="center" wrapText="1"/>
    </xf>
    <xf numFmtId="0" fontId="7" fillId="0" borderId="0" xfId="0" applyFont="1" applyFill="1" applyBorder="1" applyAlignment="1" applyProtection="1">
      <alignment horizontal="center" vertical="center"/>
    </xf>
    <xf numFmtId="0" fontId="5" fillId="0" borderId="60" xfId="0" applyFont="1" applyBorder="1" applyAlignment="1">
      <alignment horizontal="center" vertical="center" wrapText="1"/>
    </xf>
    <xf numFmtId="0" fontId="7" fillId="4" borderId="0" xfId="0" applyFont="1" applyFill="1" applyBorder="1" applyAlignment="1" applyProtection="1">
      <alignment horizontal="center" vertical="center"/>
      <protection locked="0"/>
    </xf>
    <xf numFmtId="0" fontId="47" fillId="5" borderId="0" xfId="0" applyNumberFormat="1" applyFont="1" applyFill="1" applyBorder="1" applyAlignment="1">
      <alignment horizontal="center" vertical="top" wrapText="1"/>
    </xf>
    <xf numFmtId="0" fontId="25" fillId="0" borderId="51" xfId="0" applyFont="1" applyBorder="1" applyAlignment="1">
      <alignment horizontal="left" vertical="center"/>
    </xf>
    <xf numFmtId="0" fontId="25" fillId="0" borderId="55" xfId="0" applyFont="1" applyBorder="1" applyAlignment="1">
      <alignment horizontal="left" vertical="center"/>
    </xf>
    <xf numFmtId="0" fontId="31" fillId="0" borderId="0" xfId="0" applyFont="1" applyAlignment="1">
      <alignment horizontal="center"/>
    </xf>
    <xf numFmtId="0" fontId="5" fillId="0" borderId="62" xfId="0" applyFont="1" applyBorder="1" applyAlignment="1">
      <alignment horizontal="center"/>
    </xf>
    <xf numFmtId="0" fontId="5" fillId="0" borderId="50" xfId="0" applyFont="1" applyBorder="1" applyAlignment="1">
      <alignment horizontal="center"/>
    </xf>
    <xf numFmtId="0" fontId="5" fillId="0" borderId="21" xfId="0" applyNumberFormat="1" applyFont="1" applyFill="1" applyBorder="1" applyAlignment="1" applyProtection="1">
      <alignment horizontal="right" vertical="center" wrapText="1"/>
    </xf>
    <xf numFmtId="0" fontId="5" fillId="0" borderId="0" xfId="0" applyNumberFormat="1" applyFont="1" applyFill="1" applyBorder="1" applyAlignment="1" applyProtection="1">
      <alignment horizontal="right" vertical="center" wrapText="1"/>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4" fontId="6" fillId="0" borderId="1" xfId="0" applyNumberFormat="1" applyFont="1" applyFill="1" applyBorder="1" applyAlignment="1" applyProtection="1">
      <alignment horizontal="center" vertical="center"/>
    </xf>
    <xf numFmtId="4" fontId="6" fillId="0" borderId="44" xfId="0" applyNumberFormat="1" applyFont="1" applyFill="1" applyBorder="1" applyAlignment="1" applyProtection="1">
      <alignment horizontal="center" vertical="center"/>
    </xf>
    <xf numFmtId="0" fontId="30" fillId="0" borderId="0" xfId="4" quotePrefix="1" applyFont="1" applyFill="1" applyAlignment="1" applyProtection="1">
      <alignment horizontal="center" vertical="center"/>
    </xf>
    <xf numFmtId="0" fontId="30" fillId="0" borderId="0" xfId="4" applyFont="1" applyFill="1" applyAlignment="1" applyProtection="1">
      <alignment horizontal="center" vertical="center"/>
    </xf>
    <xf numFmtId="0" fontId="5" fillId="0" borderId="6"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17" fillId="0" borderId="8"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xf>
    <xf numFmtId="0" fontId="17" fillId="0" borderId="10" xfId="0" applyFont="1" applyFill="1" applyBorder="1" applyAlignment="1" applyProtection="1">
      <alignment horizontal="center" vertical="center"/>
    </xf>
    <xf numFmtId="0" fontId="5" fillId="0" borderId="6" xfId="0" applyFont="1" applyFill="1" applyBorder="1" applyAlignment="1" applyProtection="1">
      <alignment horizontal="center" vertical="center" wrapText="1" shrinkToFit="1"/>
    </xf>
    <xf numFmtId="0" fontId="5" fillId="0" borderId="25"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xf>
    <xf numFmtId="0" fontId="5" fillId="0" borderId="11" xfId="0" applyFont="1" applyFill="1" applyBorder="1" applyAlignment="1" applyProtection="1">
      <alignment horizontal="center"/>
    </xf>
    <xf numFmtId="0" fontId="5" fillId="0" borderId="12" xfId="0" applyFont="1" applyFill="1" applyBorder="1" applyAlignment="1" applyProtection="1">
      <alignment horizontal="center"/>
    </xf>
    <xf numFmtId="0" fontId="5" fillId="0" borderId="13" xfId="0" applyFont="1" applyFill="1" applyBorder="1" applyAlignment="1" applyProtection="1">
      <alignment horizontal="center"/>
    </xf>
    <xf numFmtId="0" fontId="5" fillId="0" borderId="21"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22"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7"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20" xfId="0" applyFont="1" applyFill="1" applyBorder="1" applyAlignment="1" applyProtection="1">
      <alignment horizontal="center"/>
    </xf>
    <xf numFmtId="0" fontId="5" fillId="0" borderId="4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 fillId="0" borderId="12" xfId="0" applyFont="1" applyFill="1" applyBorder="1" applyAlignment="1" applyProtection="1">
      <alignment horizontal="center"/>
    </xf>
    <xf numFmtId="0" fontId="6" fillId="0" borderId="13" xfId="0" applyFont="1" applyFill="1" applyBorder="1" applyAlignment="1" applyProtection="1">
      <alignment horizontal="center"/>
    </xf>
    <xf numFmtId="0" fontId="7" fillId="0" borderId="4"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7" fillId="0" borderId="5" xfId="0" applyFont="1" applyFill="1" applyBorder="1" applyAlignment="1" applyProtection="1">
      <alignment horizontal="center" vertical="top"/>
    </xf>
    <xf numFmtId="0" fontId="6" fillId="0" borderId="44" xfId="0" applyFont="1" applyFill="1" applyBorder="1" applyAlignment="1" applyProtection="1">
      <alignment horizontal="center" vertical="center"/>
    </xf>
    <xf numFmtId="0" fontId="29" fillId="0" borderId="9" xfId="0" applyFont="1" applyFill="1" applyBorder="1" applyAlignment="1" applyProtection="1">
      <alignment horizontal="center" vertical="center" wrapText="1"/>
    </xf>
    <xf numFmtId="0" fontId="29" fillId="0" borderId="63" xfId="0" applyFont="1" applyFill="1" applyBorder="1" applyAlignment="1" applyProtection="1">
      <alignment horizontal="center" vertical="center" wrapText="1"/>
    </xf>
    <xf numFmtId="4" fontId="5" fillId="0" borderId="39" xfId="0" applyNumberFormat="1" applyFont="1" applyBorder="1" applyAlignment="1" applyProtection="1">
      <alignment horizontal="center" vertical="center"/>
    </xf>
    <xf numFmtId="4" fontId="5" fillId="0" borderId="40" xfId="0" applyNumberFormat="1" applyFont="1" applyBorder="1" applyAlignment="1" applyProtection="1">
      <alignment horizontal="center" vertical="center"/>
    </xf>
    <xf numFmtId="4" fontId="5" fillId="0" borderId="41" xfId="0" applyNumberFormat="1" applyFont="1" applyBorder="1" applyAlignment="1" applyProtection="1">
      <alignment horizontal="center" vertical="center"/>
    </xf>
    <xf numFmtId="0" fontId="5" fillId="0" borderId="11" xfId="0" applyFont="1" applyBorder="1" applyAlignment="1" applyProtection="1">
      <alignment horizontal="left" vertical="center"/>
    </xf>
    <xf numFmtId="0" fontId="5" fillId="0" borderId="22" xfId="0" applyFont="1" applyBorder="1" applyAlignment="1" applyProtection="1">
      <alignment horizontal="left" vertical="center"/>
    </xf>
    <xf numFmtId="0" fontId="5" fillId="0" borderId="4" xfId="0" applyFont="1" applyBorder="1" applyAlignment="1" applyProtection="1">
      <alignment horizontal="left" vertical="center"/>
    </xf>
    <xf numFmtId="4" fontId="5" fillId="0" borderId="13" xfId="0" applyNumberFormat="1" applyFont="1" applyFill="1" applyBorder="1" applyAlignment="1" applyProtection="1">
      <alignment horizontal="center" vertical="center" wrapText="1"/>
    </xf>
    <xf numFmtId="4" fontId="5" fillId="0" borderId="26" xfId="0" applyNumberFormat="1" applyFont="1" applyFill="1" applyBorder="1" applyAlignment="1" applyProtection="1">
      <alignment horizontal="center" vertical="center" wrapText="1"/>
    </xf>
    <xf numFmtId="4" fontId="5" fillId="0" borderId="12" xfId="0" applyNumberFormat="1" applyFont="1" applyFill="1" applyBorder="1" applyAlignment="1" applyProtection="1">
      <alignment horizontal="center" vertical="center" wrapText="1"/>
    </xf>
    <xf numFmtId="4" fontId="5" fillId="0" borderId="23" xfId="0" applyNumberFormat="1" applyFont="1" applyFill="1" applyBorder="1" applyAlignment="1" applyProtection="1">
      <alignment horizontal="center" vertical="center" wrapText="1"/>
    </xf>
    <xf numFmtId="0" fontId="5" fillId="0" borderId="51" xfId="0" applyFont="1" applyBorder="1" applyAlignment="1" applyProtection="1">
      <alignment horizontal="left" vertical="center"/>
    </xf>
    <xf numFmtId="0" fontId="5" fillId="0" borderId="55" xfId="0" applyFont="1" applyBorder="1" applyAlignment="1" applyProtection="1">
      <alignment horizontal="left" vertical="center"/>
    </xf>
    <xf numFmtId="4" fontId="5" fillId="0" borderId="52" xfId="0" applyNumberFormat="1" applyFont="1" applyFill="1" applyBorder="1" applyAlignment="1" applyProtection="1">
      <alignment horizontal="center"/>
    </xf>
    <xf numFmtId="4" fontId="5" fillId="0" borderId="56" xfId="0" applyNumberFormat="1" applyFont="1" applyFill="1" applyBorder="1" applyAlignment="1" applyProtection="1">
      <alignment horizontal="center"/>
    </xf>
    <xf numFmtId="4" fontId="5" fillId="0" borderId="54" xfId="0" applyNumberFormat="1" applyFont="1" applyFill="1" applyBorder="1" applyAlignment="1" applyProtection="1">
      <alignment horizontal="center"/>
    </xf>
    <xf numFmtId="4" fontId="5" fillId="0" borderId="58" xfId="0" applyNumberFormat="1" applyFont="1" applyFill="1" applyBorder="1" applyAlignment="1" applyProtection="1">
      <alignment horizontal="center"/>
    </xf>
    <xf numFmtId="0" fontId="17" fillId="0" borderId="62" xfId="0" applyFont="1" applyBorder="1" applyAlignment="1" applyProtection="1">
      <alignment horizontal="center" vertical="center" wrapText="1"/>
    </xf>
    <xf numFmtId="0" fontId="17" fillId="0" borderId="61"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5" fillId="0" borderId="0" xfId="0" applyFont="1" applyFill="1" applyBorder="1" applyAlignment="1" applyProtection="1">
      <alignment horizontal="center" vertical="center"/>
    </xf>
    <xf numFmtId="0" fontId="5" fillId="0" borderId="60" xfId="0" applyFont="1" applyBorder="1" applyAlignment="1" applyProtection="1">
      <alignment horizontal="center" vertical="center" wrapText="1"/>
    </xf>
    <xf numFmtId="0" fontId="5" fillId="0" borderId="59" xfId="0" applyFont="1" applyBorder="1" applyAlignment="1" applyProtection="1">
      <alignment horizontal="center" vertical="center" wrapText="1"/>
    </xf>
    <xf numFmtId="4" fontId="6" fillId="0" borderId="39" xfId="0" applyNumberFormat="1" applyFont="1" applyFill="1" applyBorder="1" applyAlignment="1" applyProtection="1">
      <alignment horizontal="center" vertical="center"/>
    </xf>
    <xf numFmtId="4" fontId="6" fillId="0" borderId="40" xfId="0" applyNumberFormat="1" applyFont="1" applyFill="1" applyBorder="1" applyAlignment="1" applyProtection="1">
      <alignment horizontal="center" vertical="center"/>
    </xf>
    <xf numFmtId="4" fontId="6" fillId="0" borderId="41" xfId="0" applyNumberFormat="1" applyFont="1" applyFill="1" applyBorder="1" applyAlignment="1" applyProtection="1">
      <alignment horizontal="center" vertical="center"/>
    </xf>
    <xf numFmtId="4" fontId="6" fillId="0" borderId="13" xfId="0" applyNumberFormat="1" applyFont="1" applyBorder="1" applyAlignment="1" applyProtection="1">
      <alignment horizontal="center" vertical="center"/>
    </xf>
    <xf numFmtId="4" fontId="6" fillId="0" borderId="5" xfId="0" applyNumberFormat="1" applyFont="1" applyBorder="1" applyAlignment="1" applyProtection="1">
      <alignment horizontal="center" vertical="center"/>
    </xf>
    <xf numFmtId="4" fontId="6" fillId="0" borderId="26" xfId="0" applyNumberFormat="1" applyFont="1" applyBorder="1" applyAlignment="1" applyProtection="1">
      <alignment horizontal="center" vertical="center"/>
    </xf>
    <xf numFmtId="0" fontId="12" fillId="0" borderId="12" xfId="0" applyNumberFormat="1" applyFont="1" applyBorder="1" applyAlignment="1">
      <alignment horizontal="right"/>
    </xf>
    <xf numFmtId="4" fontId="5" fillId="0" borderId="39" xfId="0" applyNumberFormat="1" applyFont="1" applyFill="1" applyBorder="1" applyAlignment="1" applyProtection="1">
      <alignment horizontal="center" vertical="center"/>
    </xf>
    <xf numFmtId="4" fontId="5" fillId="0" borderId="40" xfId="0" applyNumberFormat="1" applyFont="1" applyFill="1" applyBorder="1" applyAlignment="1" applyProtection="1">
      <alignment horizontal="center" vertical="center"/>
    </xf>
    <xf numFmtId="4" fontId="5" fillId="0" borderId="41" xfId="0" applyNumberFormat="1" applyFont="1" applyFill="1" applyBorder="1" applyAlignment="1" applyProtection="1">
      <alignment horizontal="center" vertical="center"/>
    </xf>
    <xf numFmtId="4" fontId="5" fillId="0" borderId="13" xfId="0" applyNumberFormat="1" applyFont="1" applyFill="1" applyBorder="1" applyAlignment="1" applyProtection="1">
      <alignment horizontal="center" vertical="center"/>
    </xf>
    <xf numFmtId="4" fontId="5" fillId="0" borderId="5" xfId="0" applyNumberFormat="1" applyFont="1" applyFill="1" applyBorder="1" applyAlignment="1" applyProtection="1">
      <alignment horizontal="center" vertical="center"/>
    </xf>
    <xf numFmtId="4" fontId="5" fillId="0" borderId="26" xfId="0" applyNumberFormat="1" applyFont="1" applyFill="1" applyBorder="1" applyAlignment="1" applyProtection="1">
      <alignment horizontal="center" vertical="center"/>
    </xf>
    <xf numFmtId="4" fontId="6" fillId="0" borderId="13" xfId="0" applyNumberFormat="1" applyFont="1" applyFill="1" applyBorder="1" applyAlignment="1" applyProtection="1">
      <alignment horizontal="center" vertical="center"/>
    </xf>
    <xf numFmtId="4" fontId="6" fillId="0" borderId="5" xfId="0" applyNumberFormat="1" applyFont="1" applyFill="1" applyBorder="1" applyAlignment="1" applyProtection="1">
      <alignment horizontal="center" vertical="center"/>
    </xf>
    <xf numFmtId="4" fontId="6" fillId="0" borderId="26" xfId="0" applyNumberFormat="1" applyFont="1" applyFill="1" applyBorder="1" applyAlignment="1" applyProtection="1">
      <alignment horizontal="center" vertical="center"/>
    </xf>
    <xf numFmtId="0" fontId="29" fillId="0" borderId="9" xfId="0" applyFont="1" applyFill="1" applyBorder="1" applyAlignment="1">
      <alignment horizontal="center" vertical="center" wrapText="1"/>
    </xf>
    <xf numFmtId="0" fontId="29" fillId="0" borderId="63" xfId="0" applyFont="1" applyFill="1" applyBorder="1" applyAlignment="1">
      <alignment horizontal="center" vertical="center" wrapText="1"/>
    </xf>
    <xf numFmtId="0" fontId="29" fillId="0" borderId="7"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44" xfId="0" applyFont="1" applyFill="1" applyBorder="1" applyAlignment="1">
      <alignment horizontal="center" vertical="center"/>
    </xf>
    <xf numFmtId="4" fontId="29" fillId="0" borderId="8" xfId="0" applyNumberFormat="1" applyFont="1" applyFill="1" applyBorder="1" applyAlignment="1">
      <alignment horizontal="right" vertical="center"/>
    </xf>
    <xf numFmtId="4" fontId="29" fillId="0" borderId="63" xfId="0" applyNumberFormat="1" applyFont="1" applyFill="1" applyBorder="1" applyAlignment="1">
      <alignment horizontal="right" vertical="center"/>
    </xf>
    <xf numFmtId="4" fontId="24" fillId="0" borderId="7" xfId="0" applyNumberFormat="1" applyFont="1" applyFill="1" applyBorder="1" applyAlignment="1">
      <alignment horizontal="center" vertical="center" wrapText="1"/>
    </xf>
    <xf numFmtId="4" fontId="24" fillId="0" borderId="2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29" fillId="0" borderId="0" xfId="0" applyFont="1" applyFill="1" applyAlignment="1">
      <alignment horizontal="left" vertical="center"/>
    </xf>
    <xf numFmtId="0" fontId="24" fillId="0" borderId="6" xfId="0" applyFont="1" applyFill="1" applyBorder="1" applyAlignment="1">
      <alignment horizontal="center" vertical="center"/>
    </xf>
    <xf numFmtId="0" fontId="24" fillId="0" borderId="6" xfId="0" applyFont="1" applyFill="1" applyBorder="1" applyAlignment="1">
      <alignment horizontal="center" vertical="center" wrapText="1" shrinkToFit="1"/>
    </xf>
    <xf numFmtId="14" fontId="19" fillId="0" borderId="1" xfId="0" applyNumberFormat="1" applyFont="1" applyFill="1" applyBorder="1" applyAlignment="1" applyProtection="1">
      <alignment horizontal="center"/>
      <protection locked="0"/>
    </xf>
    <xf numFmtId="0" fontId="29" fillId="0" borderId="12" xfId="0" applyFont="1" applyFill="1" applyBorder="1" applyAlignment="1">
      <alignment horizontal="center"/>
    </xf>
    <xf numFmtId="0" fontId="29" fillId="0" borderId="13" xfId="0" applyFont="1" applyFill="1" applyBorder="1" applyAlignment="1">
      <alignment horizontal="center"/>
    </xf>
    <xf numFmtId="0" fontId="19" fillId="0" borderId="1" xfId="0" applyFont="1" applyFill="1" applyBorder="1" applyAlignment="1">
      <alignment horizontal="right"/>
    </xf>
    <xf numFmtId="0" fontId="5" fillId="0" borderId="21" xfId="0" applyFont="1" applyFill="1" applyBorder="1" applyAlignment="1">
      <alignment horizontal="center"/>
    </xf>
    <xf numFmtId="0" fontId="5" fillId="0" borderId="0" xfId="0" applyFont="1" applyFill="1" applyAlignment="1">
      <alignment horizontal="center"/>
    </xf>
    <xf numFmtId="0" fontId="0"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4" borderId="46" xfId="0" applyFont="1" applyFill="1" applyBorder="1" applyAlignment="1" applyProtection="1">
      <alignment horizontal="center" vertical="center" shrinkToFit="1"/>
      <protection locked="0"/>
    </xf>
    <xf numFmtId="0" fontId="5" fillId="4" borderId="45" xfId="0" applyFont="1" applyFill="1" applyBorder="1" applyAlignment="1" applyProtection="1">
      <alignment horizontal="center" vertical="center" shrinkToFit="1"/>
      <protection locked="0"/>
    </xf>
    <xf numFmtId="0" fontId="5" fillId="4" borderId="23" xfId="0" applyFont="1" applyFill="1" applyBorder="1" applyAlignment="1" applyProtection="1">
      <alignment horizontal="center" vertical="center" wrapText="1"/>
      <protection locked="0"/>
    </xf>
    <xf numFmtId="0" fontId="5" fillId="4" borderId="26" xfId="0" applyFont="1" applyFill="1" applyBorder="1" applyAlignment="1" applyProtection="1">
      <alignment horizontal="center" vertical="center" wrapText="1"/>
      <protection locked="0"/>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5" fillId="0" borderId="3" xfId="0" applyFont="1" applyBorder="1" applyAlignment="1">
      <alignment horizontal="center"/>
    </xf>
    <xf numFmtId="0" fontId="0" fillId="0" borderId="7" xfId="0" applyFont="1" applyFill="1" applyBorder="1" applyAlignment="1">
      <alignment horizontal="center"/>
    </xf>
    <xf numFmtId="0" fontId="5" fillId="0" borderId="7" xfId="0" applyFont="1" applyFill="1" applyBorder="1" applyAlignment="1">
      <alignment horizontal="center"/>
    </xf>
    <xf numFmtId="0" fontId="5" fillId="0" borderId="20" xfId="0" applyFont="1" applyFill="1" applyBorder="1" applyAlignment="1">
      <alignment horizontal="center"/>
    </xf>
    <xf numFmtId="0" fontId="43" fillId="0" borderId="0" xfId="0" applyFont="1" applyAlignment="1">
      <alignment horizontal="center"/>
    </xf>
  </cellXfs>
  <cellStyles count="7">
    <cellStyle name="Komma" xfId="2" builtinId="3"/>
    <cellStyle name="Komma 2" xfId="3" xr:uid="{A0D9AB23-4397-4028-A07D-B3A17F4C8485}"/>
    <cellStyle name="Komma 3" xfId="5" xr:uid="{A02E970E-E290-48DE-98EA-43E47B92E54E}"/>
    <cellStyle name="Link" xfId="4" builtinId="8"/>
    <cellStyle name="Prozent 2" xfId="6" xr:uid="{2912932D-BD68-435C-BF8C-8B6CCF86661A}"/>
    <cellStyle name="Standard" xfId="0" builtinId="0"/>
    <cellStyle name="Standard 2" xfId="1" xr:uid="{00000000-0005-0000-0000-000002000000}"/>
  </cellStyles>
  <dxfs count="252">
    <dxf>
      <numFmt numFmtId="35" formatCode="_-* #,##0.00_-;\-* #,##0.00_-;_-* &quot;-&quot;??_-;_-@_-"/>
    </dxf>
    <dxf>
      <numFmt numFmtId="35" formatCode="_-* #,##0.00_-;\-* #,##0.00_-;_-* &quot;-&quot;??_-;_-@_-"/>
    </dxf>
    <dxf>
      <numFmt numFmtId="35" formatCode="_-* #,##0.00_-;\-* #,##0.00_-;_-* &quot;-&quot;??_-;_-@_-"/>
    </dxf>
    <dxf>
      <numFmt numFmtId="35" formatCode="_-* #,##0.00_-;\-* #,##0.00_-;_-* &quot;-&quot;??_-;_-@_-"/>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35" formatCode="_-* #,##0.00_-;\-* #,##0.00_-;_-* &quot;-&quot;??_-;_-@_-"/>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0" formatCode="General"/>
      <fill>
        <patternFill patternType="none">
          <fgColor indexed="64"/>
          <bgColor auto="1"/>
        </patternFill>
      </fill>
      <border diagonalUp="0" diagonalDown="0" outline="0">
        <left/>
        <right/>
        <top style="thin">
          <color theme="4" tint="0.39997558519241921"/>
        </top>
        <bottom/>
      </border>
    </dxf>
    <dxf>
      <numFmt numFmtId="0" formatCode="General"/>
      <fill>
        <patternFill patternType="none">
          <fgColor indexed="64"/>
          <bgColor auto="1"/>
        </patternFill>
      </fill>
      <border diagonalUp="0" diagonalDown="0" outline="0">
        <left/>
        <right/>
        <top style="thin">
          <color theme="4" tint="0.39997558519241921"/>
        </top>
        <bottom/>
      </border>
    </dxf>
    <dxf>
      <numFmt numFmtId="166" formatCode="_-* #,##0_-;\-* #,##0_-;_-* &quot;-&quot;??_-;_-@_-"/>
      <fill>
        <patternFill patternType="none">
          <fgColor indexed="64"/>
          <bgColor auto="1"/>
        </patternFill>
      </fill>
      <border diagonalUp="0" diagonalDown="0">
        <left/>
        <right/>
        <top style="thin">
          <color theme="4" tint="0.39997558519241921"/>
        </top>
        <bottom/>
      </border>
    </dxf>
    <dxf>
      <numFmt numFmtId="166" formatCode="_-* #,##0_-;\-* #,##0_-;_-* &quot;-&quot;??_-;_-@_-"/>
      <fill>
        <patternFill patternType="none">
          <fgColor indexed="64"/>
          <bgColor auto="1"/>
        </patternFill>
      </fill>
      <border diagonalUp="0" diagonalDown="0">
        <left/>
        <right/>
        <top style="thin">
          <color theme="4" tint="0.39997558519241921"/>
        </top>
        <bottom/>
      </border>
    </dxf>
    <dxf>
      <numFmt numFmtId="166" formatCode="_-* #,##0_-;\-* #,##0_-;_-* &quot;-&quot;??_-;_-@_-"/>
      <fill>
        <patternFill patternType="none">
          <fgColor indexed="64"/>
          <bgColor auto="1"/>
        </patternFill>
      </fill>
      <border diagonalUp="0" diagonalDown="0">
        <left/>
        <right/>
        <top style="thin">
          <color theme="4" tint="0.39997558519241921"/>
        </top>
        <bottom/>
      </border>
    </dxf>
    <dxf>
      <numFmt numFmtId="166" formatCode="_-* #,##0_-;\-* #,##0_-;_-* &quot;-&quot;??_-;_-@_-"/>
      <fill>
        <patternFill patternType="none">
          <fgColor indexed="64"/>
          <bgColor auto="1"/>
        </patternFill>
      </fill>
      <border diagonalUp="0" diagonalDown="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35" formatCode="_-* #,##0.00_-;\-* #,##0.00_-;_-* &quot;-&quot;??_-;_-@_-"/>
      <fill>
        <patternFill patternType="none">
          <fgColor indexed="64"/>
          <bgColor auto="1"/>
        </patternFill>
      </fill>
      <border diagonalUp="0" diagonalDown="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sz val="11"/>
        <color theme="1"/>
        <name val="Calibri"/>
        <family val="2"/>
        <charset val="238"/>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FF00"/>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numFmt numFmtId="35" formatCode="_-* #,##0.00_-;\-* #,##0.00_-;_-* &quot;-&quot;??_-;_-@_-"/>
      <fill>
        <patternFill patternType="none">
          <fgColor indexed="64"/>
          <bgColor auto="1"/>
        </patternFill>
      </fill>
      <border diagonalUp="0" diagonalDown="0">
        <left/>
        <right/>
        <top style="thin">
          <color theme="4" tint="0.39997558519241921"/>
        </top>
        <bottom/>
      </border>
    </dxf>
    <dxf>
      <numFmt numFmtId="35" formatCode="_-* #,##0.00_-;\-* #,##0.00_-;_-* &quot;-&quot;??_-;_-@_-"/>
      <fill>
        <patternFill patternType="none">
          <fgColor indexed="64"/>
          <bgColor auto="1"/>
        </patternFill>
      </fill>
      <border diagonalUp="0" diagonalDown="0">
        <left/>
        <right/>
        <top style="thin">
          <color theme="4" tint="0.39997558519241921"/>
        </top>
        <bottom/>
      </border>
    </dxf>
    <dxf>
      <numFmt numFmtId="0" formatCode="General"/>
      <fill>
        <patternFill patternType="none">
          <fgColor indexed="64"/>
          <bgColor auto="1"/>
        </patternFill>
      </fill>
      <border diagonalUp="0" diagonalDown="0" outline="0">
        <left/>
        <right/>
        <top style="thin">
          <color theme="4" tint="0.39997558519241921"/>
        </top>
        <bottom/>
      </border>
    </dxf>
    <dxf>
      <numFmt numFmtId="0" formatCode="General"/>
      <fill>
        <patternFill patternType="none">
          <fgColor indexed="64"/>
          <bgColor auto="1"/>
        </patternFill>
      </fill>
      <border diagonalUp="0" diagonalDown="0" outline="0">
        <left/>
        <right/>
        <top style="thin">
          <color theme="4" tint="0.39997558519241921"/>
        </top>
        <bottom/>
      </border>
    </dxf>
    <dxf>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charset val="238"/>
        <scheme val="minor"/>
      </font>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numFmt numFmtId="0" formatCode="General"/>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numFmt numFmtId="0" formatCode="General"/>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0"/>
        <color auto="1"/>
        <name val="Arial"/>
        <family val="2"/>
        <scheme val="none"/>
      </font>
      <numFmt numFmtId="30" formatCode="@"/>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numFmt numFmtId="19" formatCode="dd/mm/yyyy"/>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dxf>
    <dxf>
      <fill>
        <patternFill patternType="none">
          <fgColor indexed="64"/>
          <bgColor auto="1"/>
        </patternFill>
      </fill>
    </dxf>
    <dxf>
      <font>
        <b/>
        <i val="0"/>
        <strike val="0"/>
        <condense val="0"/>
        <extend val="0"/>
        <outline val="0"/>
        <shadow val="0"/>
        <u val="none"/>
        <vertAlign val="baseline"/>
        <sz val="11"/>
        <color theme="0"/>
        <name val="Calibri"/>
        <family val="2"/>
        <charset val="238"/>
        <scheme val="minor"/>
      </font>
      <fill>
        <patternFill patternType="solid">
          <fgColor theme="4"/>
          <bgColor theme="4"/>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rgb="FFFFFF00"/>
        </patternFill>
      </fill>
    </dxf>
    <dxf>
      <font>
        <color theme="0"/>
      </font>
    </dxf>
    <dxf>
      <font>
        <color theme="0"/>
      </font>
    </dxf>
    <dxf>
      <font>
        <strike/>
      </font>
    </dxf>
    <dxf>
      <font>
        <color theme="0"/>
      </font>
    </dxf>
    <dxf>
      <font>
        <strike/>
      </font>
    </dxf>
    <dxf>
      <fill>
        <patternFill>
          <bgColor rgb="FFFFC000"/>
        </patternFill>
      </fill>
    </dxf>
    <dxf>
      <font>
        <color theme="0"/>
      </font>
    </dxf>
    <dxf>
      <font>
        <strike/>
      </font>
    </dxf>
    <dxf>
      <fill>
        <patternFill>
          <bgColor rgb="FFFFFF00"/>
        </patternFill>
      </fill>
    </dxf>
    <dxf>
      <font>
        <b/>
        <i val="0"/>
        <color theme="1"/>
      </font>
      <fill>
        <patternFill>
          <bgColor rgb="FFFFFF00"/>
        </patternFill>
      </fill>
    </dxf>
    <dxf>
      <font>
        <strike/>
      </font>
    </dxf>
    <dxf>
      <font>
        <color theme="0"/>
      </font>
    </dxf>
    <dxf>
      <font>
        <color theme="0"/>
      </font>
    </dxf>
    <dxf>
      <font>
        <strike/>
      </font>
    </dxf>
    <dxf>
      <font>
        <b val="0"/>
        <i val="0"/>
        <strike val="0"/>
        <condense val="0"/>
        <extend val="0"/>
        <outline val="0"/>
        <shadow val="0"/>
        <u val="none"/>
        <vertAlign val="baseline"/>
        <sz val="10"/>
        <color auto="1"/>
        <name val="Calibri"/>
        <family val="2"/>
        <scheme val="minor"/>
      </font>
      <numFmt numFmtId="35" formatCode="_-* #,##0.00_-;\-* #,##0.00_-;_-* &quot;-&quot;??_-;_-@_-"/>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numFmt numFmtId="0" formatCode="General"/>
    </dxf>
    <dxf>
      <font>
        <b val="0"/>
        <i val="0"/>
        <strike val="0"/>
        <condense val="0"/>
        <extend val="0"/>
        <outline val="0"/>
        <shadow val="0"/>
        <u val="none"/>
        <vertAlign val="baseline"/>
        <sz val="10"/>
        <color auto="1"/>
        <name val="Calibri"/>
        <family val="2"/>
        <scheme val="minor"/>
      </font>
      <numFmt numFmtId="1" formatCode="0"/>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0" formatCode="General"/>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rgb="FFFFFF00"/>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ont>
        <color theme="0"/>
      </font>
    </dxf>
    <dxf>
      <font>
        <color theme="1"/>
      </font>
      <fill>
        <patternFill>
          <bgColor rgb="FFFFFF00"/>
        </patternFill>
      </fill>
    </dxf>
    <dxf>
      <fill>
        <patternFill>
          <bgColor rgb="FFFF0000"/>
        </patternFill>
      </fill>
    </dxf>
    <dxf>
      <font>
        <color auto="1"/>
      </font>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patternType="none">
          <bgColor auto="1"/>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1"/>
      </font>
      <fill>
        <patternFill>
          <bgColor rgb="FFFFFF00"/>
        </patternFill>
      </fill>
    </dxf>
    <dxf>
      <font>
        <color theme="0"/>
      </font>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b/>
        <i val="0"/>
        <color rgb="FFFF0000"/>
      </font>
      <fill>
        <patternFill>
          <bgColor theme="5" tint="0.39994506668294322"/>
        </patternFill>
      </fill>
    </dxf>
    <dxf>
      <font>
        <b/>
        <i val="0"/>
        <color rgb="FFFF0000"/>
      </font>
      <fill>
        <patternFill>
          <bgColor theme="5" tint="0.39994506668294322"/>
        </patternFill>
      </fill>
    </dxf>
    <dxf>
      <font>
        <b/>
        <i val="0"/>
      </font>
      <fill>
        <patternFill>
          <bgColor rgb="FFFF0000"/>
        </patternFill>
      </fill>
    </dxf>
    <dxf>
      <font>
        <b/>
        <i val="0"/>
      </font>
      <fill>
        <patternFill>
          <bgColor rgb="FFFF0000"/>
        </patternFill>
      </fill>
    </dxf>
    <dxf>
      <font>
        <color rgb="FF9C0006"/>
      </font>
      <fill>
        <patternFill>
          <bgColor rgb="FFFFC7CE"/>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b/>
        <i val="0"/>
        <color rgb="FFFF0000"/>
      </font>
      <fill>
        <patternFill>
          <bgColor theme="5" tint="0.39994506668294322"/>
        </patternFill>
      </fill>
    </dxf>
    <dxf>
      <font>
        <b/>
        <i val="0"/>
        <color rgb="FFFF0000"/>
      </font>
      <fill>
        <patternFill>
          <bgColor theme="5" tint="0.39994506668294322"/>
        </patternFill>
      </fill>
    </dxf>
  </dxfs>
  <tableStyles count="0" defaultTableStyle="TableStyleMedium2" defaultPivotStyle="PivotStyleLight16"/>
  <colors>
    <mruColors>
      <color rgb="FF66FF33"/>
      <color rgb="FF00AFE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685800</xdr:colOff>
      <xdr:row>0</xdr:row>
      <xdr:rowOff>109221</xdr:rowOff>
    </xdr:from>
    <xdr:to>
      <xdr:col>5</xdr:col>
      <xdr:colOff>74068</xdr:colOff>
      <xdr:row>3</xdr:row>
      <xdr:rowOff>19051</xdr:rowOff>
    </xdr:to>
    <xdr:pic>
      <xdr:nvPicPr>
        <xdr:cNvPr id="2" name="Grafik 1">
          <a:extLst>
            <a:ext uri="{FF2B5EF4-FFF2-40B4-BE49-F238E27FC236}">
              <a16:creationId xmlns:a16="http://schemas.microsoft.com/office/drawing/2014/main" id="{E6762479-3CE0-4C32-9661-59BE30E2E6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85800" y="109221"/>
          <a:ext cx="2864893" cy="709930"/>
        </a:xfrm>
        <a:prstGeom prst="rect">
          <a:avLst/>
        </a:prstGeom>
        <a:noFill/>
        <a:ln>
          <a:noFill/>
        </a:ln>
      </xdr:spPr>
    </xdr:pic>
    <xdr:clientData/>
  </xdr:twoCellAnchor>
  <xdr:twoCellAnchor editAs="oneCell">
    <xdr:from>
      <xdr:col>7</xdr:col>
      <xdr:colOff>551815</xdr:colOff>
      <xdr:row>0</xdr:row>
      <xdr:rowOff>19050</xdr:rowOff>
    </xdr:from>
    <xdr:to>
      <xdr:col>8</xdr:col>
      <xdr:colOff>913765</xdr:colOff>
      <xdr:row>3</xdr:row>
      <xdr:rowOff>95631</xdr:rowOff>
    </xdr:to>
    <xdr:pic>
      <xdr:nvPicPr>
        <xdr:cNvPr id="3" name="Grafik 2">
          <a:extLst>
            <a:ext uri="{FF2B5EF4-FFF2-40B4-BE49-F238E27FC236}">
              <a16:creationId xmlns:a16="http://schemas.microsoft.com/office/drawing/2014/main" id="{0DB02F0E-EAD4-4252-9624-08D2EE960D1D}"/>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376"/>
        <a:stretch/>
      </xdr:blipFill>
      <xdr:spPr>
        <a:xfrm>
          <a:off x="6581140" y="19050"/>
          <a:ext cx="2476500" cy="876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114301</xdr:colOff>
      <xdr:row>58</xdr:row>
      <xdr:rowOff>42863</xdr:rowOff>
    </xdr:from>
    <xdr:to>
      <xdr:col>11</xdr:col>
      <xdr:colOff>679009</xdr:colOff>
      <xdr:row>65</xdr:row>
      <xdr:rowOff>125130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400676" y="10263188"/>
          <a:ext cx="993333" cy="996667"/>
        </a:xfrm>
        <a:prstGeom prst="rect">
          <a:avLst/>
        </a:prstGeom>
      </xdr:spPr>
    </xdr:pic>
    <xdr:clientData/>
  </xdr:twoCellAnchor>
  <xdr:twoCellAnchor editAs="oneCell">
    <xdr:from>
      <xdr:col>0</xdr:col>
      <xdr:colOff>162560</xdr:colOff>
      <xdr:row>0</xdr:row>
      <xdr:rowOff>223520</xdr:rowOff>
    </xdr:from>
    <xdr:to>
      <xdr:col>4</xdr:col>
      <xdr:colOff>789078</xdr:colOff>
      <xdr:row>1</xdr:row>
      <xdr:rowOff>714375</xdr:rowOff>
    </xdr:to>
    <xdr:pic>
      <xdr:nvPicPr>
        <xdr:cNvPr id="5" name="Grafik 4">
          <a:extLst>
            <a:ext uri="{FF2B5EF4-FFF2-40B4-BE49-F238E27FC236}">
              <a16:creationId xmlns:a16="http://schemas.microsoft.com/office/drawing/2014/main" id="{394A0CDE-1285-434C-BF41-BE4C615FED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62560" y="223520"/>
          <a:ext cx="2864893" cy="709930"/>
        </a:xfrm>
        <a:prstGeom prst="rect">
          <a:avLst/>
        </a:prstGeom>
        <a:noFill/>
        <a:ln>
          <a:noFill/>
        </a:ln>
      </xdr:spPr>
    </xdr:pic>
    <xdr:clientData/>
  </xdr:twoCellAnchor>
  <xdr:twoCellAnchor editAs="oneCell">
    <xdr:from>
      <xdr:col>9</xdr:col>
      <xdr:colOff>695325</xdr:colOff>
      <xdr:row>0</xdr:row>
      <xdr:rowOff>85724</xdr:rowOff>
    </xdr:from>
    <xdr:to>
      <xdr:col>13</xdr:col>
      <xdr:colOff>161925</xdr:colOff>
      <xdr:row>2</xdr:row>
      <xdr:rowOff>28955</xdr:rowOff>
    </xdr:to>
    <xdr:pic>
      <xdr:nvPicPr>
        <xdr:cNvPr id="4" name="Grafik 3">
          <a:extLst>
            <a:ext uri="{FF2B5EF4-FFF2-40B4-BE49-F238E27FC236}">
              <a16:creationId xmlns:a16="http://schemas.microsoft.com/office/drawing/2014/main" id="{1897EE41-8A8F-43B7-B8BF-B03BDB77599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2376"/>
        <a:stretch/>
      </xdr:blipFill>
      <xdr:spPr>
        <a:xfrm>
          <a:off x="5010150" y="85724"/>
          <a:ext cx="2476500" cy="876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xdr:colOff>
      <xdr:row>0</xdr:row>
      <xdr:rowOff>80646</xdr:rowOff>
    </xdr:from>
    <xdr:to>
      <xdr:col>5</xdr:col>
      <xdr:colOff>140743</xdr:colOff>
      <xdr:row>3</xdr:row>
      <xdr:rowOff>190501</xdr:rowOff>
    </xdr:to>
    <xdr:pic>
      <xdr:nvPicPr>
        <xdr:cNvPr id="4" name="Grafik 3">
          <a:extLst>
            <a:ext uri="{FF2B5EF4-FFF2-40B4-BE49-F238E27FC236}">
              <a16:creationId xmlns:a16="http://schemas.microsoft.com/office/drawing/2014/main" id="{800F236B-53F6-4365-88E5-BDD212A50A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6225" y="280671"/>
          <a:ext cx="2864893" cy="709930"/>
        </a:xfrm>
        <a:prstGeom prst="rect">
          <a:avLst/>
        </a:prstGeom>
        <a:noFill/>
        <a:ln>
          <a:noFill/>
        </a:ln>
      </xdr:spPr>
    </xdr:pic>
    <xdr:clientData/>
  </xdr:twoCellAnchor>
  <xdr:twoCellAnchor editAs="oneCell">
    <xdr:from>
      <xdr:col>25</xdr:col>
      <xdr:colOff>75565</xdr:colOff>
      <xdr:row>0</xdr:row>
      <xdr:rowOff>57150</xdr:rowOff>
    </xdr:from>
    <xdr:to>
      <xdr:col>29</xdr:col>
      <xdr:colOff>56516</xdr:colOff>
      <xdr:row>4</xdr:row>
      <xdr:rowOff>143256</xdr:rowOff>
    </xdr:to>
    <xdr:pic>
      <xdr:nvPicPr>
        <xdr:cNvPr id="5" name="Grafik 4">
          <a:extLst>
            <a:ext uri="{FF2B5EF4-FFF2-40B4-BE49-F238E27FC236}">
              <a16:creationId xmlns:a16="http://schemas.microsoft.com/office/drawing/2014/main" id="{EF9A351A-9F0C-42A1-BA3E-561BAA03969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376"/>
        <a:stretch/>
      </xdr:blipFill>
      <xdr:spPr>
        <a:xfrm>
          <a:off x="7419340" y="57150"/>
          <a:ext cx="2476500" cy="876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162560</xdr:colOff>
      <xdr:row>0</xdr:row>
      <xdr:rowOff>90170</xdr:rowOff>
    </xdr:from>
    <xdr:to>
      <xdr:col>4</xdr:col>
      <xdr:colOff>322353</xdr:colOff>
      <xdr:row>0</xdr:row>
      <xdr:rowOff>800100</xdr:rowOff>
    </xdr:to>
    <xdr:pic>
      <xdr:nvPicPr>
        <xdr:cNvPr id="2" name="Grafik 1">
          <a:extLst>
            <a:ext uri="{FF2B5EF4-FFF2-40B4-BE49-F238E27FC236}">
              <a16:creationId xmlns:a16="http://schemas.microsoft.com/office/drawing/2014/main" id="{4D16B778-5FC6-43BD-BAC2-26D666AB66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2560" y="90170"/>
          <a:ext cx="2864893" cy="709930"/>
        </a:xfrm>
        <a:prstGeom prst="rect">
          <a:avLst/>
        </a:prstGeom>
        <a:noFill/>
        <a:ln>
          <a:noFill/>
        </a:ln>
      </xdr:spPr>
    </xdr:pic>
    <xdr:clientData/>
  </xdr:twoCellAnchor>
  <xdr:twoCellAnchor editAs="oneCell">
    <xdr:from>
      <xdr:col>7</xdr:col>
      <xdr:colOff>19050</xdr:colOff>
      <xdr:row>0</xdr:row>
      <xdr:rowOff>28574</xdr:rowOff>
    </xdr:from>
    <xdr:to>
      <xdr:col>16</xdr:col>
      <xdr:colOff>142875</xdr:colOff>
      <xdr:row>1</xdr:row>
      <xdr:rowOff>57530</xdr:rowOff>
    </xdr:to>
    <xdr:pic>
      <xdr:nvPicPr>
        <xdr:cNvPr id="3" name="Grafik 2">
          <a:extLst>
            <a:ext uri="{FF2B5EF4-FFF2-40B4-BE49-F238E27FC236}">
              <a16:creationId xmlns:a16="http://schemas.microsoft.com/office/drawing/2014/main" id="{1D7B754E-71A6-4C6C-BFD8-88C3AC01A085}"/>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2376"/>
        <a:stretch/>
      </xdr:blipFill>
      <xdr:spPr>
        <a:xfrm>
          <a:off x="4772025" y="28574"/>
          <a:ext cx="2476500" cy="876681"/>
        </a:xfrm>
        <a:prstGeom prst="rect">
          <a:avLst/>
        </a:prstGeom>
      </xdr:spPr>
    </xdr:pic>
    <xdr:clientData/>
  </xdr:twoCellAnchor>
  <xdr:twoCellAnchor editAs="oneCell">
    <xdr:from>
      <xdr:col>9</xdr:col>
      <xdr:colOff>323850</xdr:colOff>
      <xdr:row>58</xdr:row>
      <xdr:rowOff>119063</xdr:rowOff>
    </xdr:from>
    <xdr:to>
      <xdr:col>11</xdr:col>
      <xdr:colOff>98705</xdr:colOff>
      <xdr:row>63</xdr:row>
      <xdr:rowOff>155933</xdr:rowOff>
    </xdr:to>
    <xdr:pic>
      <xdr:nvPicPr>
        <xdr:cNvPr id="4" name="Grafik 3">
          <a:extLst>
            <a:ext uri="{FF2B5EF4-FFF2-40B4-BE49-F238E27FC236}">
              <a16:creationId xmlns:a16="http://schemas.microsoft.com/office/drawing/2014/main" id="{5584669C-FB6D-4AEF-BB7D-ECD94DB7B0F9}"/>
            </a:ext>
          </a:extLst>
        </xdr:cNvPr>
        <xdr:cNvPicPr>
          <a:picLocks noChangeAspect="1"/>
        </xdr:cNvPicPr>
      </xdr:nvPicPr>
      <xdr:blipFill>
        <a:blip xmlns:r="http://schemas.openxmlformats.org/officeDocument/2006/relationships" r:embed="rId3"/>
        <a:stretch>
          <a:fillRect/>
        </a:stretch>
      </xdr:blipFill>
      <xdr:spPr>
        <a:xfrm>
          <a:off x="5400675" y="9996488"/>
          <a:ext cx="1003580" cy="10179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09-HOCHSCHULBILDUNG%20(Verkn&#252;pfung)/20-KA1-Mobilit&#228;t/KA%20131/01%20Antragsrunde%202021/07%20Berichte/01%20Zwischenberichte/01a%20Anforderung%20Mittel%20nach%201.%20ZB/Formular/ungesch&#252;tzte%20Sicherheitskopie%20Zwischenbericht%201a%20MittelanKA131%20Call%202021%20OeAD_V01.1.0.xlsx?A6C9470B" TargetMode="External"/><Relationship Id="rId1" Type="http://schemas.openxmlformats.org/officeDocument/2006/relationships/externalLinkPath" Target="file:///\\A6C9470B\ungesch&#252;tzte%20Sicherheitskopie%20Zwischenbericht%201a%20MittelanKA131%20Call%202021%20OeAD_V01.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klärung"/>
      <sheetName val="Dateneingabe"/>
      <sheetName val="Ausdruck 1"/>
      <sheetName val="OS"/>
      <sheetName val="Daten 2021"/>
      <sheetName val="Zusammenfassung"/>
    </sheetNames>
    <sheetDataSet>
      <sheetData sheetId="0"/>
      <sheetData sheetId="1"/>
      <sheetData sheetId="2"/>
      <sheetData sheetId="3" refreshError="1"/>
      <sheetData sheetId="4">
        <row r="2">
          <cell r="A2" t="str">
            <v>&lt;-- Bitte Erasmus Code auswählen --&gt;</v>
          </cell>
        </row>
        <row r="3">
          <cell r="A3" t="str">
            <v>A  BADEN01</v>
          </cell>
        </row>
        <row r="4">
          <cell r="A4" t="str">
            <v>A  DORNBIR01</v>
          </cell>
        </row>
        <row r="5">
          <cell r="A5" t="str">
            <v>A  EISENST01</v>
          </cell>
        </row>
        <row r="6">
          <cell r="A6" t="str">
            <v>A  EISENST02</v>
          </cell>
        </row>
        <row r="7">
          <cell r="A7" t="str">
            <v>A  EISENST05</v>
          </cell>
        </row>
        <row r="8">
          <cell r="A8" t="str">
            <v>A  FELDKIR01</v>
          </cell>
        </row>
        <row r="9">
          <cell r="A9" t="str">
            <v>A  FELDKIR03</v>
          </cell>
        </row>
        <row r="10">
          <cell r="A10" t="str">
            <v>A  GRAZ01</v>
          </cell>
        </row>
        <row r="11">
          <cell r="A11" t="str">
            <v>A  GRAZ02</v>
          </cell>
        </row>
        <row r="12">
          <cell r="A12" t="str">
            <v>A  GRAZ03</v>
          </cell>
        </row>
        <row r="13">
          <cell r="A13" t="str">
            <v>A  GRAZ04</v>
          </cell>
        </row>
        <row r="14">
          <cell r="A14" t="str">
            <v>A  GRAZ08</v>
          </cell>
        </row>
        <row r="15">
          <cell r="A15" t="str">
            <v>A  GRAZ09</v>
          </cell>
        </row>
        <row r="16">
          <cell r="A16" t="str">
            <v>A  GRAZ10</v>
          </cell>
        </row>
        <row r="17">
          <cell r="A17" t="str">
            <v>A  GRAZ23</v>
          </cell>
        </row>
        <row r="18">
          <cell r="A18" t="str">
            <v>A  INNSBRU01</v>
          </cell>
        </row>
        <row r="19">
          <cell r="A19" t="str">
            <v>A  INNSBRU03</v>
          </cell>
        </row>
        <row r="20">
          <cell r="A20" t="str">
            <v>A  INNSBRU08</v>
          </cell>
        </row>
        <row r="21">
          <cell r="A21" t="str">
            <v>A  INNSBRU09</v>
          </cell>
        </row>
        <row r="22">
          <cell r="A22" t="str">
            <v>A  INNSBRU20</v>
          </cell>
        </row>
        <row r="23">
          <cell r="A23" t="str">
            <v>A  INNSBRU21</v>
          </cell>
        </row>
        <row r="24">
          <cell r="A24" t="str">
            <v>A  INNSBRU23</v>
          </cell>
        </row>
        <row r="25">
          <cell r="A25" t="str">
            <v>A  KLAGENF01</v>
          </cell>
        </row>
        <row r="26">
          <cell r="A26" t="str">
            <v>A  KLAGENF02</v>
          </cell>
        </row>
        <row r="27">
          <cell r="A27" t="str">
            <v>A  KLAGENF06</v>
          </cell>
        </row>
        <row r="28">
          <cell r="A28" t="str">
            <v>A  KLOSTER01</v>
          </cell>
        </row>
        <row r="29">
          <cell r="A29" t="str">
            <v>A  KREMS03</v>
          </cell>
        </row>
        <row r="30">
          <cell r="A30" t="str">
            <v>A  KREMS05</v>
          </cell>
        </row>
        <row r="31">
          <cell r="A31" t="str">
            <v>A  KREMS06</v>
          </cell>
        </row>
        <row r="32">
          <cell r="A32" t="str">
            <v>A  KUFSTEI01</v>
          </cell>
        </row>
        <row r="33">
          <cell r="A33" t="str">
            <v>A  LEOBEN01</v>
          </cell>
        </row>
        <row r="34">
          <cell r="A34" t="str">
            <v>A  LINZ01</v>
          </cell>
        </row>
        <row r="35">
          <cell r="A35" t="str">
            <v>A  LINZ02</v>
          </cell>
        </row>
        <row r="36">
          <cell r="A36" t="str">
            <v>A  LINZ03</v>
          </cell>
        </row>
        <row r="37">
          <cell r="A37" t="str">
            <v>A  LINZ04</v>
          </cell>
        </row>
        <row r="38">
          <cell r="A38" t="str">
            <v>A  LINZ11</v>
          </cell>
        </row>
        <row r="39">
          <cell r="A39" t="str">
            <v>A  LINZ17</v>
          </cell>
        </row>
        <row r="40">
          <cell r="A40" t="str">
            <v>A  LINZ23</v>
          </cell>
        </row>
        <row r="41">
          <cell r="A41" t="str">
            <v>A  SALZBUR01</v>
          </cell>
        </row>
        <row r="42">
          <cell r="A42" t="str">
            <v>A  SALZBUR02</v>
          </cell>
        </row>
        <row r="43">
          <cell r="A43" t="str">
            <v>A  SALZBUR03</v>
          </cell>
        </row>
        <row r="44">
          <cell r="A44" t="str">
            <v>A  SALZBUR08</v>
          </cell>
        </row>
        <row r="45">
          <cell r="A45" t="str">
            <v>A  SALZBUR18</v>
          </cell>
        </row>
        <row r="46">
          <cell r="A46" t="str">
            <v>A  SALZBUR19</v>
          </cell>
        </row>
        <row r="47">
          <cell r="A47" t="str">
            <v>A  SPITTAL01</v>
          </cell>
        </row>
        <row r="48">
          <cell r="A48" t="str">
            <v>A  ST-POLT03</v>
          </cell>
        </row>
        <row r="49">
          <cell r="A49" t="str">
            <v>A  ST-POLT10</v>
          </cell>
        </row>
        <row r="50">
          <cell r="A50" t="str">
            <v>A  WELS01</v>
          </cell>
        </row>
        <row r="51">
          <cell r="A51" t="str">
            <v>A  WIEN01</v>
          </cell>
        </row>
        <row r="52">
          <cell r="A52" t="str">
            <v>A  WIEN02</v>
          </cell>
        </row>
        <row r="53">
          <cell r="A53" t="str">
            <v>A  WIEN03</v>
          </cell>
        </row>
        <row r="54">
          <cell r="A54" t="str">
            <v>A  WIEN04</v>
          </cell>
        </row>
        <row r="55">
          <cell r="A55" t="str">
            <v>A  WIEN05</v>
          </cell>
        </row>
        <row r="56">
          <cell r="A56" t="str">
            <v>A  WIEN06</v>
          </cell>
        </row>
        <row r="57">
          <cell r="A57" t="str">
            <v>A  WIEN07</v>
          </cell>
        </row>
        <row r="58">
          <cell r="A58" t="str">
            <v>A  WIEN08</v>
          </cell>
        </row>
        <row r="59">
          <cell r="A59" t="str">
            <v>A  WIEN09</v>
          </cell>
        </row>
        <row r="60">
          <cell r="A60" t="str">
            <v>A  WIEN10</v>
          </cell>
        </row>
        <row r="61">
          <cell r="A61" t="str">
            <v>A  WIEN15</v>
          </cell>
        </row>
        <row r="62">
          <cell r="A62" t="str">
            <v>A  WIEN15-K001</v>
          </cell>
        </row>
        <row r="63">
          <cell r="A63" t="str">
            <v>A  WIEN20</v>
          </cell>
        </row>
        <row r="64">
          <cell r="A64" t="str">
            <v>A  WIEN21</v>
          </cell>
        </row>
        <row r="65">
          <cell r="A65" t="str">
            <v>A  WIEN38</v>
          </cell>
        </row>
        <row r="66">
          <cell r="A66" t="str">
            <v>A  WIEN52</v>
          </cell>
        </row>
        <row r="67">
          <cell r="A67" t="str">
            <v>A  WIEN63</v>
          </cell>
        </row>
        <row r="68">
          <cell r="A68" t="str">
            <v>A  WIEN64</v>
          </cell>
        </row>
        <row r="69">
          <cell r="A69" t="str">
            <v>A  WIEN66</v>
          </cell>
        </row>
        <row r="70">
          <cell r="A70" t="str">
            <v>A  WIEN68</v>
          </cell>
        </row>
        <row r="71">
          <cell r="A71" t="str">
            <v>A  WIEN70</v>
          </cell>
        </row>
        <row r="72">
          <cell r="A72" t="str">
            <v>A  WIEN72</v>
          </cell>
        </row>
        <row r="73">
          <cell r="A73" t="str">
            <v>A  WIEN74</v>
          </cell>
        </row>
        <row r="74">
          <cell r="A74" t="str">
            <v>A  WIEN75</v>
          </cell>
        </row>
        <row r="75">
          <cell r="A75" t="str">
            <v>A  WIEN76</v>
          </cell>
        </row>
        <row r="76">
          <cell r="A76" t="str">
            <v>A  WIEN78</v>
          </cell>
        </row>
        <row r="77">
          <cell r="A77" t="str">
            <v>A  WIENER01</v>
          </cell>
        </row>
        <row r="78">
          <cell r="A78" t="str">
            <v>A  WIENER04</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4DA314-6E0D-42E1-AEB8-64135410DA75}" name="BIPs_NEU" displayName="BIPs_NEU" ref="B6:E27" totalsRowCount="1" headerRowDxfId="173" dataDxfId="172">
  <autoFilter ref="B6:E26" xr:uid="{F74DA314-6E0D-42E1-AEB8-64135410DA75}"/>
  <tableColumns count="4">
    <tableColumn id="1" xr3:uid="{EA2BEE6D-5452-466A-9E66-704FA31E7E49}" name="Titel" totalsRowFunction="custom" dataDxfId="171" totalsRowDxfId="170">
      <calculatedColumnFormula>IF(ISBLANK(BIPs_NEU[[#This Row],[Anzahl Personen]]),"","Hier muss ein Name für das BIP angegeben werden!")</calculatedColumnFormula>
      <totalsRowFormula>"Anzahl zusätzlich beantragter BIPs: "&amp;SUBTOTAL(102,BIPs_NEU[Anzahl Personen])</totalsRowFormula>
    </tableColumn>
    <tableColumn id="4" xr3:uid="{C5E10A24-900A-4651-9A24-5F3261F584C9}" name="Spalte1" totalsRowFunction="countNums" dataDxfId="169" totalsRowDxfId="168">
      <calculatedColumnFormula>IF(BIPs_NEU[[#This Row],[Anzahl Personen]]="","",BIPs_NEU[[#This Row],[Anzahl Personen]])</calculatedColumnFormula>
    </tableColumn>
    <tableColumn id="2" xr3:uid="{9EE36813-A485-42EA-9A1C-1B2809C0FC89}" name="Anzahl Personen" totalsRowFunction="sum" dataDxfId="167" totalsRowDxfId="166"/>
    <tableColumn id="3" xr3:uid="{3F6077D7-62A6-4551-B7DE-FFC58A49D990}" name="Beantragter Betrag" totalsRowFunction="sum" dataDxfId="165" totalsRowDxfId="164" dataCellStyle="Komma">
      <calculatedColumnFormula>IF(AND(BIPs_NEU[[#This Row],[Anzahl Personen]]&gt;=15,BIPs_NEU[[#This Row],[Anzahl Personen]]&lt;=20),BIPs_NEU[[#This Row],[Anzahl Personen]]*400,IF(BIPs_NEU[[#This Row],[Anzahl Personen]]&gt;20,8000,0))</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B180D31-DFFC-46C6-B8F0-4B922BA485D3}" name="OS_Betraege" displayName="OS_Betraege" ref="Q2:R6" totalsRowShown="0" headerRowDxfId="113">
  <autoFilter ref="Q2:R6" xr:uid="{EB180D31-DFFC-46C6-B8F0-4B922BA485D3}"/>
  <tableColumns count="2">
    <tableColumn id="1" xr3:uid="{D5D405C1-093A-4DD8-A484-D964DE2C57A2}" name="OS Typ" dataDxfId="112"/>
    <tableColumn id="2" xr3:uid="{9F43A06C-5C31-42BB-B09F-FFEFFE885989}" name="Betrag"/>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D3DB254-17B4-4873-AE47-9C36A4985289}" name="Versionsnummer" displayName="Versionsnummer" ref="T2:U5" totalsRowShown="0" headerRowDxfId="111">
  <autoFilter ref="T2:U5" xr:uid="{1D3DB254-17B4-4873-AE47-9C36A4985289}"/>
  <tableColumns count="2">
    <tableColumn id="1" xr3:uid="{111CF943-70F8-4D06-8B10-F1ED53E0B788}" name="Version"/>
    <tableColumn id="2" xr3:uid="{5ED747F5-E78F-4291-8DFA-8B09E18C3671}" name="#" dataDxfId="1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D937AE-21E3-4D97-BD54-3FC590460025}" name="Daten" displayName="Daten" ref="A1:CC80" totalsRowCount="1" headerRowDxfId="124" dataDxfId="123" headerRowCellStyle="Komma" dataCellStyle="Standard 2">
  <autoFilter ref="A1:CC79" xr:uid="{00000000-0009-0000-0000-000003000000}"/>
  <sortState xmlns:xlrd2="http://schemas.microsoft.com/office/spreadsheetml/2017/richdata2" ref="A2:BQ78">
    <sortCondition ref="A1:A78"/>
  </sortState>
  <tableColumns count="81">
    <tableColumn id="1" xr3:uid="{D8FEFD39-CF48-4B80-AC11-A4A408E437A1}" name="Erasmus Code" totalsRowLabel="Ergebnis" dataDxfId="109" dataCellStyle="Standard 2"/>
    <tableColumn id="2" xr3:uid="{24698B39-B9D6-4E67-B870-1E28751701B1}" name="InstName" dataDxfId="108" dataCellStyle="Standard 2"/>
    <tableColumn id="24" xr3:uid="{93EFC458-716E-45B2-82BA-B40916AC2CD6}" name="OID" dataDxfId="107" totalsRowDxfId="28" dataCellStyle="Standard 2"/>
    <tableColumn id="3" xr3:uid="{1577840D-CF91-4424-9E9C-56E812018CCE}" name="ProjectCode" dataDxfId="106" dataCellStyle="Standard 2"/>
    <tableColumn id="49" xr3:uid="{B04C58E9-E073-47EC-AB6E-654FF330C9F4}" name="GZ" dataDxfId="105" totalsRowDxfId="27" dataCellStyle="Standard 2"/>
    <tableColumn id="38" xr3:uid="{2066281A-6493-42BD-9AAC-71F97135FBF3}" name="Legal Representative" dataDxfId="104" totalsRowDxfId="26" dataCellStyle="Standard 2"/>
    <tableColumn id="37" xr3:uid="{FE801354-8041-4BD6-AC72-52AE5EEB53D0}" name="Legal Representative Email" dataDxfId="103" totalsRowDxfId="25" dataCellStyle="Standard 2"/>
    <tableColumn id="31" xr3:uid="{D73C9801-6C10-4B81-82D6-4C0210B9641E}" name="Legal Representative2" dataDxfId="102" totalsRowDxfId="24" dataCellStyle="Standard 2"/>
    <tableColumn id="25" xr3:uid="{C050CEF5-4FD2-47BA-BCFE-704679D35754}" name="Legal Representative Email2" dataDxfId="101" totalsRowDxfId="23" dataCellStyle="Standard 2"/>
    <tableColumn id="4" xr3:uid="{1747BA65-712D-447A-897E-3FE5C3218292}" name="SMS_Mob" totalsRowFunction="sum" dataDxfId="100" dataCellStyle="Standard 2"/>
    <tableColumn id="5" xr3:uid="{291C86A7-2DD8-4626-895E-58062EAA2585}" name="SMS_t" dataDxfId="99" dataCellStyle="Standard 2"/>
    <tableColumn id="6" xr3:uid="{005EA082-5A1B-49BC-AD78-8F8AB33A340A}" name="SMS_EUR" dataDxfId="98" dataCellStyle="Standard 2"/>
    <tableColumn id="7" xr3:uid="{B9D95DFC-B042-4B81-9C9E-57CFF4A011B1}" name="SMT_Mob" totalsRowFunction="sum" dataDxfId="97" dataCellStyle="Standard 2"/>
    <tableColumn id="8" xr3:uid="{5AEC1FF1-217A-4AF6-8C90-4F2D89552E81}" name="SMT_t" dataDxfId="96" dataCellStyle="Standard 2"/>
    <tableColumn id="9" xr3:uid="{CFBD0B58-B15B-4859-BA09-2AE310107F4B}" name="SMT_EUR" dataDxfId="95" dataCellStyle="Standard 2"/>
    <tableColumn id="10" xr3:uid="{A0668292-5EF2-4D2E-A84F-D4FA89F90E5A}" name="STA_Mob" totalsRowFunction="sum" dataDxfId="94" dataCellStyle="Standard 2"/>
    <tableColumn id="11" xr3:uid="{944ACE42-7763-46B8-B7D0-FA6B22F7FF9F}" name="STA_t" dataDxfId="93" dataCellStyle="Standard 2"/>
    <tableColumn id="12" xr3:uid="{B3389B5A-C38F-4A7F-9887-6C8A1BD7EF8F}" name="STA_EUR" dataDxfId="92" dataCellStyle="Standard 2"/>
    <tableColumn id="13" xr3:uid="{16C20F7E-DF11-4B8D-AA2F-759BE0ACA634}" name="STT_Mob" totalsRowFunction="sum" dataDxfId="91" dataCellStyle="Standard 2"/>
    <tableColumn id="14" xr3:uid="{EFC93524-43D6-46E8-AA4A-44490B21C454}" name="STT_t" dataDxfId="90" dataCellStyle="Standard 2"/>
    <tableColumn id="15" xr3:uid="{33209F8C-C883-4E77-8FEC-4D92A06DC3C4}" name="STT_EUR" dataDxfId="89" dataCellStyle="Standard 2"/>
    <tableColumn id="48" xr3:uid="{F53CE73F-5D36-49BB-8C06-86F6F541F634}" name="BIP_15_ANZ" dataDxfId="88" totalsRowDxfId="22" dataCellStyle="Standard 2"/>
    <tableColumn id="47" xr3:uid="{71250689-451D-4870-AE99-92221A4441FA}" name="BIP_15_EUR" dataDxfId="87" totalsRowDxfId="21" dataCellStyle="Standard 2"/>
    <tableColumn id="46" xr3:uid="{E90EB2E6-342C-4B96-8852-48F226FE222D}" name="BIP_16_ANZ" dataDxfId="86" totalsRowDxfId="20" dataCellStyle="Standard 2"/>
    <tableColumn id="45" xr3:uid="{E7D0F0F8-4819-4D50-8064-18163D849281}" name="BIP_16_EUR" dataDxfId="85" totalsRowDxfId="19" dataCellStyle="Standard 2"/>
    <tableColumn id="44" xr3:uid="{17EC8AA4-94B4-48CB-B9A1-4959B7545CE9}" name="BIP_17_ANZ" dataDxfId="84" totalsRowDxfId="18" dataCellStyle="Standard 2"/>
    <tableColumn id="43" xr3:uid="{0B479B59-B2F9-4056-80CE-EA910A192FE7}" name="BIP_17_EUR" dataDxfId="83" totalsRowDxfId="17" dataCellStyle="Standard 2"/>
    <tableColumn id="42" xr3:uid="{3308E848-EDA3-486D-A032-2380FD376774}" name="BIP_18_ANZ" dataDxfId="82" totalsRowDxfId="16" dataCellStyle="Standard 2"/>
    <tableColumn id="41" xr3:uid="{D6F30F31-B19D-40FA-B8D6-780220FD6CBA}" name="BIP_18_EUR" dataDxfId="81" totalsRowDxfId="15" dataCellStyle="Standard 2"/>
    <tableColumn id="40" xr3:uid="{FE5ABCF3-4797-4EF1-B8CE-EBEBC23B49F9}" name="BIP_19_ANZ" dataDxfId="80" totalsRowDxfId="14" dataCellStyle="Standard 2"/>
    <tableColumn id="39" xr3:uid="{D5199D07-752A-40DA-845D-304E68333FB7}" name="BIP_19_EUR" dataDxfId="79" totalsRowDxfId="13" dataCellStyle="Standard 2"/>
    <tableColumn id="78" xr3:uid="{5DAD1B2F-B84D-41ED-A0BF-199E1669DA17}" name="BIP_20_plus_ANZ" dataDxfId="78" totalsRowDxfId="12" dataCellStyle="Standard 2"/>
    <tableColumn id="77" xr3:uid="{7BC92805-C293-4C62-94AE-6533DB70625D}" name="BIP_20_plus_EUR" dataDxfId="77" totalsRowDxfId="11" dataCellStyle="Standard 2"/>
    <tableColumn id="80" xr3:uid="{0CBF6D17-E35C-4E5A-AC7A-EB4BABBF2238}" name="BIP_Mob" dataDxfId="76" totalsRowDxfId="10" dataCellStyle="Standard 2"/>
    <tableColumn id="79" xr3:uid="{4327F448-A61C-4580-A768-8349B359F332}" name="BIP_EUR" totalsRowFunction="sum" dataDxfId="75" totalsRowDxfId="9" dataCellStyle="Standard 2"/>
    <tableColumn id="55" xr3:uid="{4ADD026F-6607-45E8-8393-6D79CD4D5889}" name="IncS_Part_Mob" dataDxfId="74" totalsRowDxfId="8" dataCellStyle="Standard 2"/>
    <tableColumn id="54" xr3:uid="{E3038F6F-13CD-4EF4-8E51-8C9CE3A3984C}" name="IncS_Part_EUR" dataDxfId="73" totalsRowDxfId="7" dataCellStyle="Standard 2"/>
    <tableColumn id="51" xr3:uid="{861FAFFC-D253-4ACE-B58F-C181104CD0E8}" name="IncS_HEI_Mob" dataDxfId="72" totalsRowDxfId="6" dataCellStyle="Standard 2"/>
    <tableColumn id="50" xr3:uid="{D881EC62-A098-468B-8F8F-40F6CB3271AA}" name="IncS_HEI_EUR" dataDxfId="71" totalsRowDxfId="5" dataCellStyle="Standard 2"/>
    <tableColumn id="57" xr3:uid="{D7F3E49B-99A9-4F05-AB7E-A5D90CE18991}" name="Except_Costs_EUR" dataDxfId="70" totalsRowDxfId="4" dataCellStyle="Standard 2"/>
    <tableColumn id="18" xr3:uid="{6F518BF8-FD9D-43A8-A9E6-702102054028}" name="OS_Mob" dataDxfId="69" dataCellStyle="Standard 2"/>
    <tableColumn id="19" xr3:uid="{43EA3F01-C509-4DA8-88C6-D78A93E394A2}" name="OS_EUR" totalsRowFunction="sum" dataDxfId="68" totalsRowDxfId="3" dataCellStyle="Standard 2"/>
    <tableColumn id="20" xr3:uid="{F65F3C19-D713-4535-8248-712BC75E176A}" name="TOTAL_GRANT" totalsRowFunction="sum" dataDxfId="67" totalsRowDxfId="2" dataCellStyle="Komma"/>
    <tableColumn id="86" xr3:uid="{EC5694FC-A02B-4AB3-BF6C-8619B4F2F7D4}" name="GA issued" dataDxfId="66" totalsRowDxfId="1" dataCellStyle="Komma"/>
    <tableColumn id="85" xr3:uid="{45AD5E78-16C6-4069-ADB8-587B0BB67930}" name="Amendment#" dataDxfId="65" totalsRowDxfId="0" dataCellStyle="Komma"/>
    <tableColumn id="16" xr3:uid="{C3BC9924-57C9-4360-A413-3FD5E2A0311D}" name="Kontrolle EURO GA1" dataDxfId="64" dataCellStyle="Standard 2"/>
    <tableColumn id="17" xr3:uid="{B28271D3-FA3F-4CB5-A8A5-CBE525414856}" name="Diff22" dataDxfId="63" dataCellStyle="Standard 2"/>
    <tableColumn id="26" xr3:uid="{C2F5E8D2-2DE3-433B-A9FD-B6C4BE47FAA8}" name="Auszahlung" dataDxfId="62" dataCellStyle="Standard 2"/>
    <tableColumn id="21" xr3:uid="{2496485D-7297-444D-8934-37953B085647}" name="Kontrolle Summe Zahlungen &lt;&gt; Vertrag" dataDxfId="61" dataCellStyle="Standard 2"/>
    <tableColumn id="22" xr3:uid="{239D24A6-FE7E-432B-8EE1-1507BE4F021F}" name="Summe Zahlungen " dataDxfId="60" dataCellStyle="Standard 2"/>
    <tableColumn id="29" xr3:uid="{C1F23DBF-FC69-48AF-AAF6-E8449AE0A069}" name="PP1" dataDxfId="59" dataCellStyle="Komma"/>
    <tableColumn id="28" xr3:uid="{8E5231F2-AED8-4573-99BB-8A2BA689A0C1}" name="PP1_e" dataDxfId="58" dataCellStyle="Komma"/>
    <tableColumn id="30" xr3:uid="{34E7E186-22EB-4929-B118-92FE1720E894}" name="PP2" dataDxfId="57" dataCellStyle="Komma"/>
    <tableColumn id="66" xr3:uid="{EFCD6A18-2E84-4989-9F90-BA8C4B768A8F}" name="PP2_e" dataDxfId="56" dataCellStyle="Komma"/>
    <tableColumn id="65" xr3:uid="{553708CB-8A5D-4CBA-A3CF-F6E3A255D9EF}" name=" 178.377,77 " dataDxfId="55" dataCellStyle="Komma"/>
    <tableColumn id="64" xr3:uid="{45D5A19B-3191-4F45-861D-5D8389917471}" name="PP3_e" dataDxfId="54" dataCellStyle="Komma"/>
    <tableColumn id="63" xr3:uid="{775594D2-C244-4B97-95C8-341865449FB4}" name="PP4" dataDxfId="53" dataCellStyle="Komma"/>
    <tableColumn id="62" xr3:uid="{F95B0513-5B10-46FD-844C-F1A2C39BECCD}" name="PP4_e" dataDxfId="52" dataCellStyle="Komma"/>
    <tableColumn id="61" xr3:uid="{03183ED3-C485-4845-8697-A9F8E32CBB0B}" name="PP5" dataDxfId="51" dataCellStyle="Komma"/>
    <tableColumn id="60" xr3:uid="{481545E5-1E2F-4E63-A847-FF45F94584FF}" name="PP5_e" dataDxfId="50" dataCellStyle="Komma"/>
    <tableColumn id="59" xr3:uid="{76C7F1C4-639C-4D22-B92D-B2202B1B8C61}" name="PP6" dataDxfId="49" dataCellStyle="Komma"/>
    <tableColumn id="58" xr3:uid="{F226A7BA-53FE-4FC8-9681-1E74666404F7}" name="PP6_e" dataDxfId="48" dataCellStyle="Komma"/>
    <tableColumn id="56" xr3:uid="{439B95A9-2CA2-40DC-9B31-49856E399725}" name="PP7" dataDxfId="47" dataCellStyle="Komma"/>
    <tableColumn id="23" xr3:uid="{83FB4D64-5881-4A8B-B76B-CF1AB9977A27}" name="PP7_e" dataDxfId="46" dataCellStyle="Komma"/>
    <tableColumn id="32" xr3:uid="{EB24F3AC-E967-439A-844D-3AF0BE12A18C}" name="PP8" dataDxfId="45" dataCellStyle="Komma"/>
    <tableColumn id="33" xr3:uid="{3A4FA20C-44BB-407B-A8D6-D2C035EFE622}" name="PP8_e" dataDxfId="44" dataCellStyle="Komma"/>
    <tableColumn id="35" xr3:uid="{00E5281F-EFCF-4194-A7F4-3733B07EF36D}" name="PP9" dataDxfId="43" dataCellStyle="Komma"/>
    <tableColumn id="34" xr3:uid="{D5800DA3-CD43-419B-A34B-0B493C102F71}" name="PP9_e" dataDxfId="42" dataCellStyle="Komma"/>
    <tableColumn id="36" xr3:uid="{48C0218B-5728-4C59-95B7-6C68D0CDB531}" name="PP10" totalsRowFunction="count" dataDxfId="41" dataCellStyle="Komma"/>
    <tableColumn id="52" xr3:uid="{0CB7EB7D-EB0E-4C44-B8BC-0EAB4C11D864}" name="PP10_e" dataDxfId="40" dataCellStyle="Komma"/>
    <tableColumn id="53" xr3:uid="{2A55F48A-F2EE-44DD-86B9-8441E514AE58}" name="FP" dataDxfId="39" dataCellStyle="Komma"/>
    <tableColumn id="67" xr3:uid="{D497404C-A50E-4289-A0FB-2DD9A5530231}" name="FP_e" dataDxfId="38" dataCellStyle="Komma"/>
    <tableColumn id="68" xr3:uid="{47C25A85-40F5-42E7-BC3D-031F8E17C364}" name="CFP" dataDxfId="37" dataCellStyle="Komma"/>
    <tableColumn id="69" xr3:uid="{8424583A-DC52-4D3D-BB46-1FF813CE339C}" name="CFP_e" dataDxfId="36" dataCellStyle="Komma"/>
    <tableColumn id="70" xr3:uid="{29406C68-B93D-4949-8B2A-CB4BF3421FE0}" name="Saldo_P" dataDxfId="35" dataCellStyle="Komma">
      <calculatedColumnFormula>Daten[[#This Row],[PP1]]+IF(Daten[[#This Row],[PP2_e]]="x",Daten[[#This Row],[PP2]],0)+IF(Daten[[#This Row],[PP3_e]]="x",Daten[[#This Row],[ 178.377,77 ]],0)+IF(Daten[[#This Row],[PP4_e]]="x",Daten[[#This Row],[PP4]],0)+IF(Daten[[#This Row],[PP5_e]]="x",Daten[[#This Row],[PP5]],0)+IF(Daten[[#This Row],[PP6_e]]="x",Daten[[#This Row],[PP6]],0)+IF(Daten[[#This Row],[PP7_e]]="x",Daten[[#This Row],[PP7]],0)+IF(Daten[[#This Row],[PP8_e]]="x",Daten[[#This Row],[PP8]],0)+IF(Daten[[#This Row],[PP9_e]]="x",Daten[[#This Row],[PP9]],0)+IF(Daten[[#This Row],[PP10_e]]="x",Daten[[#This Row],[PP10]],0)+IF(Daten[[#This Row],[FP_e]]="x",Daten[[#This Row],[FP]],0)+IF(Daten[[#This Row],[CFP_e]]="x",Daten[[#This Row],[CFP]],0)</calculatedColumnFormula>
    </tableColumn>
    <tableColumn id="71" xr3:uid="{D0113C94-C751-4686-BA2A-B4C493AC4623}" name="Saldo Zahlungen inkl aktueller Zahlung" dataDxfId="34" dataCellStyle="Standard 2">
      <calculatedColumnFormula>Daten[[#This Row],[PP1]]+IF(OR(Daten[[#This Row],[PP2_e]]="x",Daten[[#This Row],[PP2_e]]="Z"),Daten[[#This Row],[PP2]],0)+IF(OR(Daten[[#This Row],[PP3_e]]="x",Daten[[#This Row],[PP3_e]]="Z"),Daten[[#This Row],[ 178.377,77 ]],0)+IF(OR(Daten[[#This Row],[PP4_e]]="x",Daten[[#This Row],[PP4_e]]="Z"),Daten[[#This Row],[PP4]],0)+IF(OR(Daten[[#This Row],[PP5_e]]="x",Daten[[#This Row],[PP5_e]]="Z"),Daten[[#This Row],[PP5]],0)+IF(OR(Daten[[#This Row],[PP6_e]]="x",Daten[[#This Row],[PP6_e]]="Z"),Daten[[#This Row],[PP6]],0)+IF(OR(Daten[[#This Row],[PP7_e]]="x",Daten[[#This Row],[PP7_e]]="Z"),Daten[[#This Row],[PP7]],0)+IF(OR(Daten[[#This Row],[PP8_e]]="x",Daten[[#This Row],[PP8_e]]="Z"),Daten[[#This Row],[PP8]],0)+IF(OR(Daten[[#This Row],[PP9_e]]="x",Daten[[#This Row],[PP9_e]]="Z"),Daten[[#This Row],[PP9]],0)+IF(OR(Daten[[#This Row],[PP10_e]]="x",Daten[[#This Row],[PP10_e]]="Z"),Daten[[#This Row],[PP10]],0)+IF(OR(Daten[[#This Row],[FP_e]]="x",Daten[[#This Row],[FP_e]]="Z"),Daten[[#This Row],[FP]],0)+IF(OR(Daten[[#This Row],[CFP_e]]="x",Daten[[#This Row],[CFP_e]]="Z"),Daten[[#This Row],[CFP]],0)</calculatedColumnFormula>
    </tableColumn>
    <tableColumn id="72" xr3:uid="{8A9659AE-B590-4E3B-99C9-8C9740404AAE}" name="Zahlungen_trf" dataDxfId="33" dataCellStyle="Standard 2">
      <calculatedColumnFormula>COUNTIF(Daten[[#This Row],[PP1]:[CFP_e]],"x")</calculatedColumnFormula>
    </tableColumn>
    <tableColumn id="73" xr3:uid="{9DD7FBAD-BE18-476C-9710-0B382CDC174F}" name="nächste Zahlung#" dataDxfId="32" dataCellStyle="Standard 2">
      <calculatedColumnFormula>IF((Daten[[#This Row],[Zahlungen_trf]]+1)&lt;=10,"PP"&amp;(Daten[[#This Row],[Zahlungen_trf]]+1),IF((Daten[[#This Row],[Zahlungen_trf]]+1)=11,"FP","CFP"))</calculatedColumnFormula>
    </tableColumn>
    <tableColumn id="74" xr3:uid="{E5DA9180-DD2E-4243-9E22-D29ED3C08F57}" name="nächste Zahlung_€" dataDxfId="31" dataCellStyle="Standard 2">
      <calculatedColumnFormula>INDEX(Daten[[#This Row],[PP1]:[CFP_e]],1,MATCH(Daten[[#This Row],[nächste Zahlung'#]],Daten[[#Headers],[PP1]:[CFP_e]],0))</calculatedColumnFormula>
    </tableColumn>
    <tableColumn id="75" xr3:uid="{0C6A17F2-3E70-461F-815B-2D843A4AEADE}" name="GA nach ZB#" dataDxfId="30" dataCellStyle="Standard 2"/>
    <tableColumn id="76" xr3:uid="{0C9E8571-961B-477E-B57E-BF4C615E4265}" name="?????" dataDxfId="29" dataCellStyle="Standard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5125BC-40DE-4ADE-91A2-BDD01E007AFD}" name="t_SMS" displayName="t_SMS" ref="B2:B5" totalsRowShown="0" headerRowDxfId="122">
  <autoFilter ref="B2:B5" xr:uid="{C75125BC-40DE-4ADE-91A2-BDD01E007AFD}"/>
  <tableColumns count="1">
    <tableColumn id="1" xr3:uid="{7FC046CE-B37B-4798-86E9-E0B7D2716400}" name="SM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79A73D9-3B4D-4C88-B4AB-CBF490159C77}" name="t_SMT" displayName="t_SMT" ref="D2:D5" totalsRowShown="0" headerRowDxfId="121">
  <autoFilter ref="D2:D5" xr:uid="{279A73D9-3B4D-4C88-B4AB-CBF490159C77}"/>
  <tableColumns count="1">
    <tableColumn id="1" xr3:uid="{6A333D57-5A24-442E-812B-C2BF3A46FF4F}" name="SM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0D0C6A2-A623-4A26-9E8A-F324370843BB}" name="t_STA" displayName="t_STA" ref="F2:F5" totalsRowShown="0" headerRowDxfId="120">
  <autoFilter ref="F2:F5" xr:uid="{F0D0C6A2-A623-4A26-9E8A-F324370843BB}"/>
  <tableColumns count="1">
    <tableColumn id="1" xr3:uid="{7758D922-5B22-437F-9675-87B7E0088E9A}" name="ST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195DE2-8C16-48F5-A695-822875A30B3E}" name="t_STT" displayName="t_STT" ref="H2:H5" totalsRowShown="0" headerRowDxfId="119">
  <autoFilter ref="H2:H5" xr:uid="{5C195DE2-8C16-48F5-A695-822875A30B3E}"/>
  <tableColumns count="1">
    <tableColumn id="1" xr3:uid="{90B712C6-55DC-4891-ABB8-8602E944EF5C}" name="STT"/>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1AC635-C445-4414-A1DB-B2B7862A146C}" name="t_OS" displayName="t_OS" ref="J2:J5" totalsRowShown="0" headerRowDxfId="118">
  <autoFilter ref="J2:J5" xr:uid="{431AC635-C445-4414-A1DB-B2B7862A146C}"/>
  <tableColumns count="1">
    <tableColumn id="1" xr3:uid="{9D1D0829-62F3-438E-B355-756049BE528A}" name="OS"/>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6441A4-CE5E-4114-885D-2286AD238634}" name="t_BIP" displayName="t_BIP" ref="L2:L5" totalsRowShown="0" headerRowDxfId="117">
  <autoFilter ref="L2:L5" xr:uid="{716441A4-CE5E-4114-885D-2286AD238634}"/>
  <tableColumns count="1">
    <tableColumn id="1" xr3:uid="{CF5FB199-0CEE-4460-A56D-047E08881C79}" name="BIP"/>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E6462C5-7D07-4BE4-83FA-C6C26DA514DC}" name="Datumsangaben" displayName="Datumsangaben" ref="N2:O3" totalsRowShown="0" headerRowDxfId="116">
  <autoFilter ref="N2:O3" xr:uid="{BE6462C5-7D07-4BE4-83FA-C6C26DA514DC}"/>
  <tableColumns count="2">
    <tableColumn id="1" xr3:uid="{9144BE5D-2ED2-48FC-9205-E6610222AFF7}" name="Stichtage" dataDxfId="115"/>
    <tableColumn id="2" xr3:uid="{287376C5-E82C-4806-9640-30DCA588F7D4}" name="Datum" dataDxfId="114"/>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21112-513D-4B4C-985C-708BA2DA9DB4}">
  <sheetPr>
    <pageSetUpPr fitToPage="1"/>
  </sheetPr>
  <dimension ref="B3:N33"/>
  <sheetViews>
    <sheetView tabSelected="1" workbookViewId="0">
      <selection activeCell="C8" sqref="C8:I8"/>
    </sheetView>
  </sheetViews>
  <sheetFormatPr baseColWidth="10" defaultColWidth="11.42578125" defaultRowHeight="15" x14ac:dyDescent="0.25"/>
  <cols>
    <col min="1" max="1" width="11.42578125" style="22"/>
    <col min="2" max="2" width="5.42578125" style="22" customWidth="1"/>
    <col min="3" max="3" width="4.7109375" style="22" customWidth="1"/>
    <col min="4" max="4" width="11.42578125" style="22"/>
    <col min="5" max="7" width="19.140625" style="22" customWidth="1"/>
    <col min="8" max="8" width="31.7109375" style="22" customWidth="1"/>
    <col min="9" max="9" width="19.140625" style="113" customWidth="1"/>
    <col min="10" max="10" width="5.42578125" style="22" customWidth="1"/>
    <col min="11" max="16384" width="11.42578125" style="22"/>
  </cols>
  <sheetData>
    <row r="3" spans="2:14" ht="33" customHeight="1" x14ac:dyDescent="0.25"/>
    <row r="5" spans="2:14" ht="65.25" customHeight="1" x14ac:dyDescent="0.3">
      <c r="B5" s="588" t="str">
        <f>Steuerung!U5&amp;"
ERASMUS+  Mobilität von Lernenden und Bildungspersonal (KA131)
Call 2022"</f>
        <v>1.  Z W I S C H E N B E R I C H T
ERASMUS+  Mobilität von Lernenden und Bildungspersonal (KA131)
Call 2022</v>
      </c>
      <c r="C5" s="589"/>
      <c r="D5" s="589"/>
      <c r="E5" s="589"/>
      <c r="F5" s="589"/>
      <c r="G5" s="589"/>
      <c r="H5" s="589"/>
      <c r="I5" s="589"/>
      <c r="J5" s="590"/>
    </row>
    <row r="6" spans="2:14" ht="11.25" customHeight="1" x14ac:dyDescent="0.2">
      <c r="B6" s="272"/>
      <c r="C6" s="273"/>
      <c r="D6" s="273"/>
      <c r="E6" s="273"/>
      <c r="F6" s="273"/>
      <c r="G6" s="273"/>
      <c r="H6" s="273"/>
      <c r="I6" s="273"/>
      <c r="J6" s="457" t="str">
        <f>Steuerung!U3</f>
        <v>1.1.2</v>
      </c>
    </row>
    <row r="7" spans="2:14" s="113" customFormat="1" x14ac:dyDescent="0.25">
      <c r="N7" s="271"/>
    </row>
    <row r="8" spans="2:14" s="113" customFormat="1" x14ac:dyDescent="0.25">
      <c r="C8" s="591" t="s">
        <v>504</v>
      </c>
      <c r="D8" s="592"/>
      <c r="E8" s="592"/>
      <c r="F8" s="592"/>
      <c r="G8" s="592"/>
      <c r="H8" s="592"/>
      <c r="I8" s="593"/>
    </row>
    <row r="9" spans="2:14" s="113" customFormat="1" x14ac:dyDescent="0.25"/>
    <row r="10" spans="2:14" s="113" customFormat="1" x14ac:dyDescent="0.25">
      <c r="C10" s="113" t="s">
        <v>397</v>
      </c>
      <c r="D10" s="113" t="s">
        <v>1046</v>
      </c>
      <c r="I10" s="580" t="s">
        <v>403</v>
      </c>
    </row>
    <row r="11" spans="2:14" s="113" customFormat="1" x14ac:dyDescent="0.25"/>
    <row r="12" spans="2:14" s="113" customFormat="1" x14ac:dyDescent="0.25">
      <c r="C12" s="113" t="s">
        <v>398</v>
      </c>
      <c r="D12" s="113" t="s">
        <v>1047</v>
      </c>
      <c r="I12" s="580" t="s">
        <v>595</v>
      </c>
    </row>
    <row r="13" spans="2:14" s="113" customFormat="1" x14ac:dyDescent="0.25"/>
    <row r="14" spans="2:14" s="113" customFormat="1" x14ac:dyDescent="0.25">
      <c r="C14" s="113" t="s">
        <v>399</v>
      </c>
      <c r="D14" s="113" t="s">
        <v>503</v>
      </c>
      <c r="I14" s="581" t="s">
        <v>405</v>
      </c>
    </row>
    <row r="15" spans="2:14" s="113" customFormat="1" x14ac:dyDescent="0.25"/>
    <row r="16" spans="2:14" s="113" customFormat="1" x14ac:dyDescent="0.25">
      <c r="C16" s="113" t="s">
        <v>400</v>
      </c>
      <c r="D16" s="113" t="s">
        <v>517</v>
      </c>
      <c r="I16" s="581" t="s">
        <v>518</v>
      </c>
    </row>
    <row r="17" spans="3:9" s="113" customFormat="1" x14ac:dyDescent="0.25"/>
    <row r="18" spans="3:9" s="113" customFormat="1" x14ac:dyDescent="0.25">
      <c r="C18" s="113" t="s">
        <v>401</v>
      </c>
      <c r="D18" s="113" t="s">
        <v>404</v>
      </c>
    </row>
    <row r="19" spans="3:9" s="113" customFormat="1" x14ac:dyDescent="0.25"/>
    <row r="20" spans="3:9" s="113" customFormat="1" x14ac:dyDescent="0.25">
      <c r="C20" s="113" t="s">
        <v>402</v>
      </c>
      <c r="D20" s="113" t="s">
        <v>505</v>
      </c>
      <c r="I20" s="581" t="s">
        <v>405</v>
      </c>
    </row>
    <row r="21" spans="3:9" s="113" customFormat="1" x14ac:dyDescent="0.25"/>
    <row r="22" spans="3:9" s="113" customFormat="1" x14ac:dyDescent="0.25">
      <c r="C22" s="113" t="s">
        <v>506</v>
      </c>
      <c r="D22" s="113" t="s">
        <v>688</v>
      </c>
      <c r="I22" s="124" t="s">
        <v>406</v>
      </c>
    </row>
    <row r="23" spans="3:9" s="113" customFormat="1" x14ac:dyDescent="0.25"/>
    <row r="24" spans="3:9" s="113" customFormat="1" x14ac:dyDescent="0.25">
      <c r="C24" s="113" t="s">
        <v>520</v>
      </c>
      <c r="D24" s="113" t="s">
        <v>1043</v>
      </c>
      <c r="I24" s="581" t="s">
        <v>518</v>
      </c>
    </row>
    <row r="25" spans="3:9" s="113" customFormat="1" x14ac:dyDescent="0.25"/>
    <row r="26" spans="3:9" x14ac:dyDescent="0.25">
      <c r="C26" s="22" t="s">
        <v>519</v>
      </c>
      <c r="D26" s="113" t="s">
        <v>1044</v>
      </c>
      <c r="E26" s="113"/>
      <c r="F26" s="113"/>
      <c r="G26" s="113"/>
      <c r="H26" s="113"/>
    </row>
    <row r="27" spans="3:9" x14ac:dyDescent="0.25">
      <c r="D27" s="113"/>
      <c r="E27" s="113"/>
      <c r="F27" s="113"/>
      <c r="G27" s="113"/>
      <c r="H27" s="113"/>
    </row>
    <row r="28" spans="3:9" x14ac:dyDescent="0.25">
      <c r="C28" s="270" t="s">
        <v>521</v>
      </c>
      <c r="D28" s="594" t="s">
        <v>596</v>
      </c>
      <c r="E28" s="594"/>
      <c r="F28" s="594"/>
      <c r="G28" s="594"/>
      <c r="H28" s="594"/>
    </row>
    <row r="29" spans="3:9" ht="15" customHeight="1" x14ac:dyDescent="0.25">
      <c r="D29" s="113"/>
      <c r="E29" s="113"/>
      <c r="F29" s="113"/>
      <c r="G29" s="113"/>
      <c r="H29" s="113"/>
    </row>
    <row r="30" spans="3:9" ht="28.5" customHeight="1" x14ac:dyDescent="0.25">
      <c r="D30" s="595" t="s">
        <v>594</v>
      </c>
      <c r="E30" s="595"/>
      <c r="F30" s="595"/>
      <c r="G30" s="595"/>
      <c r="H30" s="595"/>
    </row>
    <row r="31" spans="3:9" x14ac:dyDescent="0.25">
      <c r="C31" s="270"/>
      <c r="D31" s="327"/>
      <c r="E31" s="327"/>
      <c r="F31" s="327"/>
      <c r="G31" s="327"/>
      <c r="H31" s="327"/>
    </row>
    <row r="32" spans="3:9" ht="27" customHeight="1" x14ac:dyDescent="0.25">
      <c r="C32" s="270" t="s">
        <v>593</v>
      </c>
      <c r="D32" s="587" t="s">
        <v>597</v>
      </c>
      <c r="E32" s="587"/>
      <c r="F32" s="587"/>
      <c r="G32" s="587"/>
      <c r="H32" s="587"/>
    </row>
    <row r="33" spans="4:8" x14ac:dyDescent="0.25">
      <c r="D33" s="284"/>
      <c r="E33" s="284"/>
      <c r="F33" s="284"/>
      <c r="G33" s="284"/>
      <c r="H33" s="284"/>
    </row>
  </sheetData>
  <sheetProtection algorithmName="SHA-512" hashValue="ccS12cVnlq0F0uZkeyjA0vPEDc+nuy6I1mbDE0/0xwppmadJeOttB01vd9LLLOedIXBBx8Cap/sQhfDN0vz0BA==" saltValue="Ar48LJjruCjQIwmIpZarjQ==" spinCount="100000" sheet="1" objects="1" scenarios="1"/>
  <mergeCells count="5">
    <mergeCell ref="D32:H32"/>
    <mergeCell ref="B5:J5"/>
    <mergeCell ref="C8:I8"/>
    <mergeCell ref="D28:H28"/>
    <mergeCell ref="D30:H30"/>
  </mergeCells>
  <hyperlinks>
    <hyperlink ref="I10" location="'Dateneingabe Mobilitäten'!C1" display="--&gt; Dateneingabe" xr:uid="{209B4FF3-8DFC-43A6-BDE3-0D477E0FC261}"/>
    <hyperlink ref="I14" location="'Ausdruck 1'!B72" display="--&gt; Ausdruck 1" xr:uid="{7A2D824B-BD50-4065-97D9-AABCA3310B11}"/>
    <hyperlink ref="I16" location="'Ausdruck 3'!L46" display="--&gt; Ausdruck 3" xr:uid="{AE0EE7F2-638F-4F85-B567-AF931DD0F809}"/>
    <hyperlink ref="I22" location="'Ausdruck 2'!I25" display="--&gt; Druck 2" xr:uid="{2F9A9B55-3A92-44DE-B9E8-C3225F1C9182}"/>
    <hyperlink ref="I20" location="'Ausdruck 1'!B72" display="--&gt; Ausdruck 1" xr:uid="{038CAB5A-F4A8-43A7-A9B1-2E0EB888CE98}"/>
    <hyperlink ref="I24" location="'Ausdruck 3'!L46" display="--&gt; Ausdruck 3" xr:uid="{B3D3EE81-C041-4A9C-B4B4-94FD58E443A9}"/>
    <hyperlink ref="I12" location="'Dateneingabe zusätzliche BIPs'!D7" display="--&gt; BIPs" xr:uid="{8DDA239B-E4F2-499D-AA40-2EFFDFD8C2A1}"/>
  </hyperlinks>
  <pageMargins left="0.70866141732283472" right="0.70866141732283472" top="0.78740157480314965" bottom="0.51181102362204722" header="0.31496062992125984" footer="0.31496062992125984"/>
  <pageSetup paperSize="9" scale="69" orientation="landscape" r:id="rId1"/>
  <headerFooter>
    <oddFooter>&amp;L&amp;"Calibri,Standard"&amp;8Ben_InRe1-KA131_Call2021-02.0_v2021-11-02_frei&amp;R&amp;"Calibri,Standard"&amp;8gedruckt am: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8CA2A-6962-4D24-8249-2118243E95E1}">
  <dimension ref="A1:JN68"/>
  <sheetViews>
    <sheetView workbookViewId="0">
      <selection activeCell="A2" sqref="A2"/>
    </sheetView>
  </sheetViews>
  <sheetFormatPr baseColWidth="10" defaultColWidth="11.42578125" defaultRowHeight="15" x14ac:dyDescent="0.25"/>
  <cols>
    <col min="1" max="1" width="13.140625" style="113" bestFit="1" customWidth="1"/>
    <col min="2" max="2" width="13.28515625" style="113" bestFit="1" customWidth="1"/>
    <col min="3" max="3" width="13.7109375" style="113" bestFit="1" customWidth="1"/>
    <col min="4" max="4" width="19.140625" style="113" bestFit="1" customWidth="1"/>
    <col min="5" max="5" width="19.5703125" style="113" bestFit="1" customWidth="1"/>
    <col min="6" max="7" width="21" style="113" bestFit="1" customWidth="1"/>
    <col min="8" max="8" width="13.85546875" style="113" bestFit="1" customWidth="1"/>
    <col min="9" max="9" width="14.28515625" style="113" bestFit="1" customWidth="1"/>
    <col min="10" max="10" width="16.140625" style="113" bestFit="1" customWidth="1"/>
    <col min="11" max="11" width="17" style="113" bestFit="1" customWidth="1"/>
    <col min="12" max="12" width="16.140625" style="113" bestFit="1" customWidth="1"/>
    <col min="13" max="13" width="17" style="113" bestFit="1" customWidth="1"/>
    <col min="14" max="14" width="15.5703125" style="113" bestFit="1" customWidth="1"/>
    <col min="15" max="15" width="16.5703125" style="113" bestFit="1" customWidth="1"/>
    <col min="16" max="16" width="15.28515625" style="113" bestFit="1" customWidth="1"/>
    <col min="17" max="17" width="16.28515625" style="113" bestFit="1" customWidth="1"/>
    <col min="18" max="18" width="17.28515625" style="113" bestFit="1" customWidth="1"/>
    <col min="19" max="19" width="14.7109375" style="113" bestFit="1" customWidth="1"/>
    <col min="20" max="20" width="19.28515625" style="113" bestFit="1" customWidth="1"/>
    <col min="21" max="21" width="15.140625" style="113" bestFit="1" customWidth="1"/>
    <col min="22" max="22" width="13.28515625" style="113" bestFit="1" customWidth="1"/>
    <col min="23" max="23" width="13.7109375" style="113" bestFit="1" customWidth="1"/>
    <col min="24" max="24" width="19.140625" style="113" bestFit="1" customWidth="1"/>
    <col min="25" max="25" width="19.5703125" style="113" bestFit="1" customWidth="1"/>
    <col min="26" max="27" width="21" style="113" bestFit="1" customWidth="1"/>
    <col min="28" max="28" width="13.85546875" style="113" bestFit="1" customWidth="1"/>
    <col min="29" max="29" width="14.28515625" style="113" bestFit="1" customWidth="1"/>
    <col min="30" max="30" width="16.140625" style="113" bestFit="1" customWidth="1"/>
    <col min="31" max="31" width="17" style="113" bestFit="1" customWidth="1"/>
    <col min="32" max="32" width="16.140625" style="113" bestFit="1" customWidth="1"/>
    <col min="33" max="33" width="17" style="113" bestFit="1" customWidth="1"/>
    <col min="34" max="34" width="15.5703125" style="113" bestFit="1" customWidth="1"/>
    <col min="35" max="35" width="16.5703125" style="113" bestFit="1" customWidth="1"/>
    <col min="36" max="36" width="15.28515625" style="113" bestFit="1" customWidth="1"/>
    <col min="37" max="37" width="16.28515625" style="113" bestFit="1" customWidth="1"/>
    <col min="38" max="38" width="17.28515625" style="113" bestFit="1" customWidth="1"/>
    <col min="39" max="39" width="14.7109375" style="113" bestFit="1" customWidth="1"/>
    <col min="40" max="40" width="19.28515625" style="113" bestFit="1" customWidth="1"/>
    <col min="41" max="41" width="15.140625" style="113" bestFit="1" customWidth="1"/>
    <col min="42" max="42" width="12.85546875" style="113" bestFit="1" customWidth="1"/>
    <col min="43" max="43" width="13.28515625" style="113" bestFit="1" customWidth="1"/>
    <col min="44" max="44" width="18.7109375" style="113" bestFit="1" customWidth="1"/>
    <col min="45" max="45" width="19.140625" style="113" bestFit="1" customWidth="1"/>
    <col min="46" max="47" width="20.5703125" style="113" bestFit="1" customWidth="1"/>
    <col min="48" max="48" width="13.42578125" style="113" bestFit="1" customWidth="1"/>
    <col min="49" max="49" width="13.85546875" style="113" bestFit="1" customWidth="1"/>
    <col min="50" max="50" width="15.5703125" style="113" bestFit="1" customWidth="1"/>
    <col min="51" max="51" width="16.5703125" style="113" bestFit="1" customWidth="1"/>
    <col min="52" max="52" width="15.5703125" style="113" bestFit="1" customWidth="1"/>
    <col min="53" max="53" width="16.5703125" style="113" bestFit="1" customWidth="1"/>
    <col min="54" max="54" width="15.140625" style="113" bestFit="1" customWidth="1"/>
    <col min="55" max="55" width="16.140625" style="113" bestFit="1" customWidth="1"/>
    <col min="56" max="56" width="14.85546875" style="113" bestFit="1" customWidth="1"/>
    <col min="57" max="57" width="15.7109375" style="113" bestFit="1" customWidth="1"/>
    <col min="58" max="58" width="16.85546875" style="113" bestFit="1" customWidth="1"/>
    <col min="59" max="59" width="14.28515625" style="113" bestFit="1" customWidth="1"/>
    <col min="60" max="60" width="18.85546875" style="113" bestFit="1" customWidth="1"/>
    <col min="61" max="61" width="14.7109375" style="113" bestFit="1" customWidth="1"/>
    <col min="62" max="62" width="12.5703125" style="113" bestFit="1" customWidth="1"/>
    <col min="63" max="63" width="13" style="113" bestFit="1" customWidth="1"/>
    <col min="64" max="64" width="18.42578125" style="113" bestFit="1" customWidth="1"/>
    <col min="65" max="65" width="18.85546875" style="113" bestFit="1" customWidth="1"/>
    <col min="66" max="67" width="20.28515625" style="113" bestFit="1" customWidth="1"/>
    <col min="68" max="68" width="13.140625" style="113" bestFit="1" customWidth="1"/>
    <col min="69" max="69" width="13.5703125" style="113" bestFit="1" customWidth="1"/>
    <col min="70" max="70" width="15.28515625" style="113" bestFit="1" customWidth="1"/>
    <col min="71" max="71" width="16.28515625" style="113" bestFit="1" customWidth="1"/>
    <col min="72" max="72" width="15.28515625" style="113" bestFit="1" customWidth="1"/>
    <col min="73" max="73" width="16.28515625" style="113" bestFit="1" customWidth="1"/>
    <col min="74" max="74" width="14.85546875" style="113" bestFit="1" customWidth="1"/>
    <col min="75" max="75" width="15.7109375" style="113" bestFit="1" customWidth="1"/>
    <col min="76" max="76" width="14.5703125" style="113" bestFit="1" customWidth="1"/>
    <col min="77" max="77" width="15.42578125" style="113" bestFit="1" customWidth="1"/>
    <col min="78" max="78" width="16.5703125" style="113" bestFit="1" customWidth="1"/>
    <col min="79" max="79" width="14" style="113" bestFit="1" customWidth="1"/>
    <col min="80" max="80" width="18.5703125" style="113" bestFit="1" customWidth="1"/>
    <col min="81" max="81" width="14.42578125" style="113" bestFit="1" customWidth="1"/>
    <col min="82" max="82" width="16.42578125" style="113" bestFit="1" customWidth="1"/>
    <col min="83" max="83" width="16.85546875" style="113" bestFit="1" customWidth="1"/>
    <col min="84" max="84" width="17" style="113" bestFit="1" customWidth="1"/>
    <col min="85" max="85" width="17.42578125" style="113" bestFit="1" customWidth="1"/>
    <col min="86" max="86" width="19.140625" style="113" bestFit="1" customWidth="1"/>
    <col min="87" max="88" width="18.7109375" style="113" bestFit="1" customWidth="1"/>
    <col min="89" max="89" width="18.42578125" style="113" bestFit="1" customWidth="1"/>
    <col min="90" max="90" width="17.85546875" style="113" bestFit="1" customWidth="1"/>
    <col min="91" max="91" width="22.42578125" style="113" bestFit="1" customWidth="1"/>
    <col min="92" max="92" width="18.28515625" style="113" bestFit="1" customWidth="1"/>
    <col min="93" max="93" width="11" style="113" bestFit="1" customWidth="1"/>
    <col min="94" max="94" width="12.42578125" style="113" bestFit="1" customWidth="1"/>
    <col min="95" max="95" width="16.28515625" style="113" bestFit="1" customWidth="1"/>
    <col min="96" max="96" width="17.140625" style="113" bestFit="1" customWidth="1"/>
    <col min="97" max="98" width="15.5703125" style="113" bestFit="1" customWidth="1"/>
    <col min="99" max="99" width="15.140625" style="113" bestFit="1" customWidth="1"/>
    <col min="100" max="100" width="14.85546875" style="113" bestFit="1" customWidth="1"/>
    <col min="101" max="101" width="15.85546875" style="113" bestFit="1" customWidth="1"/>
    <col min="102" max="102" width="17.28515625" style="113" bestFit="1" customWidth="1"/>
    <col min="103" max="103" width="17.7109375" style="113" bestFit="1" customWidth="1"/>
    <col min="104" max="104" width="14.7109375" style="113" bestFit="1" customWidth="1"/>
    <col min="105" max="106" width="21.28515625" style="113" bestFit="1" customWidth="1"/>
    <col min="107" max="107" width="20.7109375" style="113" bestFit="1" customWidth="1"/>
    <col min="108" max="108" width="20.42578125" style="113" bestFit="1" customWidth="1"/>
    <col min="109" max="109" width="21.5703125" style="113" bestFit="1" customWidth="1"/>
    <col min="110" max="110" width="16.28515625" style="113" bestFit="1" customWidth="1"/>
    <col min="111" max="111" width="16.7109375" style="113" bestFit="1" customWidth="1"/>
    <col min="112" max="112" width="14.42578125" style="113" bestFit="1" customWidth="1"/>
    <col min="113" max="113" width="14.85546875" style="113" bestFit="1" customWidth="1"/>
    <col min="114" max="114" width="15" style="113" bestFit="1" customWidth="1"/>
    <col min="115" max="115" width="15.42578125" style="113" bestFit="1" customWidth="1"/>
    <col min="116" max="117" width="18.42578125" style="113" bestFit="1" customWidth="1"/>
    <col min="118" max="118" width="17.85546875" style="113" bestFit="1" customWidth="1"/>
    <col min="119" max="119" width="17.5703125" style="113" bestFit="1" customWidth="1"/>
    <col min="120" max="121" width="17.5703125" style="113" customWidth="1"/>
    <col min="122" max="122" width="9.28515625" style="113" bestFit="1" customWidth="1"/>
    <col min="123" max="123" width="9.28515625" style="113" customWidth="1"/>
    <col min="124" max="124" width="13.42578125" style="113" bestFit="1" customWidth="1"/>
    <col min="125" max="125" width="13.85546875" style="113" bestFit="1" customWidth="1"/>
    <col min="126" max="126" width="14" style="113" bestFit="1" customWidth="1"/>
    <col min="127" max="127" width="14.42578125" style="113" bestFit="1" customWidth="1"/>
    <col min="128" max="129" width="17.28515625" style="113" bestFit="1" customWidth="1"/>
    <col min="130" max="130" width="16.7109375" style="113" bestFit="1" customWidth="1"/>
    <col min="131" max="131" width="16.5703125" style="113" bestFit="1" customWidth="1"/>
    <col min="132" max="133" width="16.5703125" style="113" customWidth="1"/>
    <col min="134" max="134" width="9.28515625" style="113" bestFit="1" customWidth="1"/>
    <col min="135" max="135" width="9.28515625" style="113" customWidth="1"/>
    <col min="136" max="136" width="13.42578125" style="113" bestFit="1" customWidth="1"/>
    <col min="137" max="137" width="13.85546875" style="113" bestFit="1" customWidth="1"/>
    <col min="138" max="138" width="14" style="113" bestFit="1" customWidth="1"/>
    <col min="139" max="139" width="14.42578125" style="113" bestFit="1" customWidth="1"/>
    <col min="140" max="141" width="17.28515625" style="113" bestFit="1" customWidth="1"/>
    <col min="142" max="142" width="16.7109375" style="113" bestFit="1" customWidth="1"/>
    <col min="143" max="143" width="16.5703125" style="113" bestFit="1" customWidth="1"/>
    <col min="144" max="145" width="16.5703125" style="113" customWidth="1"/>
    <col min="146" max="146" width="9.28515625" style="113" bestFit="1" customWidth="1"/>
    <col min="147" max="147" width="9.28515625" style="113" customWidth="1"/>
    <col min="148" max="148" width="13.42578125" style="113" bestFit="1" customWidth="1"/>
    <col min="149" max="149" width="13.85546875" style="113" bestFit="1" customWidth="1"/>
    <col min="150" max="150" width="14" style="113" bestFit="1" customWidth="1"/>
    <col min="151" max="151" width="14.42578125" style="113" bestFit="1" customWidth="1"/>
    <col min="152" max="153" width="17.28515625" style="113" bestFit="1" customWidth="1"/>
    <col min="154" max="154" width="16.7109375" style="113" bestFit="1" customWidth="1"/>
    <col min="155" max="155" width="16.5703125" style="113" bestFit="1" customWidth="1"/>
    <col min="156" max="157" width="16.5703125" style="113" customWidth="1"/>
    <col min="158" max="158" width="9.28515625" style="113" bestFit="1" customWidth="1"/>
    <col min="159" max="159" width="9.28515625" style="113" customWidth="1"/>
    <col min="160" max="160" width="13.42578125" style="113" bestFit="1" customWidth="1"/>
    <col min="161" max="161" width="13.85546875" style="113" bestFit="1" customWidth="1"/>
    <col min="162" max="162" width="14" style="113" bestFit="1" customWidth="1"/>
    <col min="163" max="163" width="14.42578125" style="113" bestFit="1" customWidth="1"/>
    <col min="164" max="165" width="17.28515625" style="113" bestFit="1" customWidth="1"/>
    <col min="166" max="166" width="16.7109375" style="113" bestFit="1" customWidth="1"/>
    <col min="167" max="167" width="16.5703125" style="113" bestFit="1" customWidth="1"/>
    <col min="168" max="181" width="16.5703125" style="113" customWidth="1"/>
    <col min="182" max="182" width="16.42578125" style="113" bestFit="1" customWidth="1"/>
    <col min="183" max="183" width="18.140625" style="113" bestFit="1" customWidth="1"/>
    <col min="184" max="184" width="16.42578125" style="113" bestFit="1" customWidth="1"/>
    <col min="185" max="185" width="18.140625" style="113" bestFit="1" customWidth="1"/>
    <col min="186" max="186" width="15.85546875" style="113" bestFit="1" customWidth="1"/>
    <col min="187" max="187" width="17.7109375" style="113" bestFit="1" customWidth="1"/>
    <col min="188" max="188" width="15.5703125" style="113" bestFit="1" customWidth="1"/>
    <col min="189" max="189" width="17.42578125" style="113" bestFit="1" customWidth="1"/>
    <col min="190" max="190" width="23.85546875" style="113" bestFit="1" customWidth="1"/>
    <col min="191" max="191" width="15" style="113" bestFit="1" customWidth="1"/>
    <col min="192" max="192" width="16.85546875" style="113" bestFit="1" customWidth="1"/>
    <col min="193" max="193" width="24" style="113" bestFit="1" customWidth="1"/>
    <col min="194" max="194" width="15.42578125" style="113" bestFit="1" customWidth="1"/>
    <col min="195" max="195" width="21.28515625" style="113" bestFit="1" customWidth="1"/>
    <col min="196" max="196" width="20.42578125" style="113" bestFit="1" customWidth="1"/>
    <col min="197" max="197" width="21.5703125" style="113" bestFit="1" customWidth="1"/>
    <col min="198" max="202" width="13.140625" style="113" bestFit="1" customWidth="1"/>
    <col min="203" max="203" width="14.28515625" style="113" bestFit="1" customWidth="1"/>
    <col min="204" max="204" width="10.85546875" style="113" bestFit="1" customWidth="1"/>
    <col min="205" max="205" width="6.85546875" style="113" bestFit="1" customWidth="1"/>
    <col min="206" max="206" width="10.140625" style="113" bestFit="1" customWidth="1"/>
    <col min="207" max="207" width="11.140625" style="113" bestFit="1" customWidth="1"/>
    <col min="208" max="208" width="9.85546875" style="113" bestFit="1" customWidth="1"/>
    <col min="209" max="209" width="22.42578125" style="113" bestFit="1" customWidth="1"/>
    <col min="210" max="211" width="17.5703125" style="113" bestFit="1" customWidth="1"/>
    <col min="212" max="212" width="22.85546875" style="113" bestFit="1" customWidth="1"/>
    <col min="213" max="214" width="17.5703125" style="113" bestFit="1" customWidth="1"/>
    <col min="215" max="215" width="47.7109375" style="113" bestFit="1" customWidth="1"/>
    <col min="216" max="216" width="17.140625" style="113" bestFit="1" customWidth="1"/>
    <col min="217" max="217" width="12.28515625" style="113" bestFit="1" customWidth="1"/>
    <col min="218" max="218" width="49.140625" style="113" bestFit="1" customWidth="1"/>
    <col min="219" max="219" width="17.140625" style="113" bestFit="1" customWidth="1"/>
    <col min="220" max="220" width="12.28515625" style="113" bestFit="1" customWidth="1"/>
    <col min="221" max="221" width="49.140625" style="113" bestFit="1" customWidth="1"/>
    <col min="222" max="222" width="17.140625" style="113" bestFit="1" customWidth="1"/>
    <col min="223" max="223" width="12.28515625" style="113" bestFit="1" customWidth="1"/>
    <col min="224" max="224" width="49.140625" style="113" bestFit="1" customWidth="1"/>
    <col min="225" max="225" width="17.140625" style="113" bestFit="1" customWidth="1"/>
    <col min="226" max="226" width="12.28515625" style="113" bestFit="1" customWidth="1"/>
    <col min="227" max="227" width="49.140625" style="113" bestFit="1" customWidth="1"/>
    <col min="228" max="228" width="17.140625" style="113" bestFit="1" customWidth="1"/>
    <col min="229" max="229" width="12.28515625" style="113" bestFit="1" customWidth="1"/>
    <col min="230" max="230" width="49.140625" style="113" bestFit="1" customWidth="1"/>
    <col min="231" max="231" width="17.140625" style="113" bestFit="1" customWidth="1"/>
    <col min="232" max="232" width="12.28515625" style="113" bestFit="1" customWidth="1"/>
    <col min="233" max="233" width="49.140625" style="113" bestFit="1" customWidth="1"/>
    <col min="234" max="234" width="17.140625" style="113" bestFit="1" customWidth="1"/>
    <col min="235" max="235" width="12.28515625" style="113" bestFit="1" customWidth="1"/>
    <col min="236" max="236" width="49.140625" style="113" bestFit="1" customWidth="1"/>
    <col min="237" max="237" width="17.140625" style="113" bestFit="1" customWidth="1"/>
    <col min="238" max="238" width="12.28515625" style="113" bestFit="1" customWidth="1"/>
    <col min="239" max="239" width="49.140625" style="113" bestFit="1" customWidth="1"/>
    <col min="240" max="240" width="17.140625" style="113" bestFit="1" customWidth="1"/>
    <col min="241" max="241" width="12.28515625" style="113" bestFit="1" customWidth="1"/>
    <col min="242" max="242" width="49.140625" style="113" bestFit="1" customWidth="1"/>
    <col min="243" max="243" width="18.140625" style="113" bestFit="1" customWidth="1"/>
    <col min="244" max="244" width="13.42578125" style="113" bestFit="1" customWidth="1"/>
    <col min="245" max="245" width="49.140625" style="113" bestFit="1" customWidth="1"/>
    <col min="246" max="246" width="18.140625" style="113" bestFit="1" customWidth="1"/>
    <col min="247" max="247" width="13.42578125" style="113" bestFit="1" customWidth="1"/>
    <col min="248" max="248" width="49.140625" style="113" bestFit="1" customWidth="1"/>
    <col min="249" max="249" width="18.140625" style="113" bestFit="1" customWidth="1"/>
    <col min="250" max="250" width="13.42578125" style="113" bestFit="1" customWidth="1"/>
    <col min="251" max="251" width="49.140625" style="113" bestFit="1" customWidth="1"/>
    <col min="252" max="252" width="18.140625" style="113" bestFit="1" customWidth="1"/>
    <col min="253" max="253" width="13.42578125" style="113" bestFit="1" customWidth="1"/>
    <col min="254" max="254" width="49.140625" style="113" bestFit="1" customWidth="1"/>
    <col min="255" max="255" width="18.140625" style="113" bestFit="1" customWidth="1"/>
    <col min="256" max="256" width="13.42578125" style="113" bestFit="1" customWidth="1"/>
    <col min="257" max="257" width="49.140625" style="113" bestFit="1" customWidth="1"/>
    <col min="258" max="258" width="18.140625" style="113" bestFit="1" customWidth="1"/>
    <col min="259" max="259" width="13.42578125" style="113" bestFit="1" customWidth="1"/>
    <col min="260" max="260" width="49.140625" style="113" bestFit="1" customWidth="1"/>
    <col min="261" max="261" width="18.140625" style="113" bestFit="1" customWidth="1"/>
    <col min="262" max="262" width="13.42578125" style="113" bestFit="1" customWidth="1"/>
    <col min="263" max="263" width="49.140625" style="113" bestFit="1" customWidth="1"/>
    <col min="264" max="264" width="18.140625" style="113" bestFit="1" customWidth="1"/>
    <col min="265" max="265" width="13.42578125" style="113" bestFit="1" customWidth="1"/>
    <col min="266" max="266" width="49.140625" style="113" bestFit="1" customWidth="1"/>
    <col min="267" max="267" width="18.140625" style="113" bestFit="1" customWidth="1"/>
    <col min="268" max="268" width="13.42578125" style="113" bestFit="1" customWidth="1"/>
    <col min="269" max="269" width="49.140625" style="113" bestFit="1" customWidth="1"/>
    <col min="270" max="270" width="18.140625" style="113" bestFit="1" customWidth="1"/>
    <col min="271" max="271" width="13.42578125" style="113" bestFit="1" customWidth="1"/>
    <col min="272" max="272" width="49.140625" style="113" bestFit="1" customWidth="1"/>
    <col min="273" max="273" width="18.140625" style="113" bestFit="1" customWidth="1"/>
    <col min="274" max="274" width="13.42578125" style="113" bestFit="1" customWidth="1"/>
    <col min="275" max="16384" width="11.42578125" style="113"/>
  </cols>
  <sheetData>
    <row r="1" spans="1:274" x14ac:dyDescent="0.25">
      <c r="A1" s="113" t="s">
        <v>413</v>
      </c>
      <c r="B1" s="113" t="s">
        <v>414</v>
      </c>
      <c r="C1" s="113" t="s">
        <v>415</v>
      </c>
      <c r="D1" s="113" t="s">
        <v>527</v>
      </c>
      <c r="E1" s="113" t="s">
        <v>528</v>
      </c>
      <c r="F1" s="113" t="s">
        <v>529</v>
      </c>
      <c r="G1" s="113" t="s">
        <v>530</v>
      </c>
      <c r="H1" s="113" t="s">
        <v>416</v>
      </c>
      <c r="I1" s="113" t="s">
        <v>417</v>
      </c>
      <c r="J1" s="565" t="s">
        <v>418</v>
      </c>
      <c r="K1" s="565" t="s">
        <v>419</v>
      </c>
      <c r="L1" s="565" t="s">
        <v>420</v>
      </c>
      <c r="M1" s="565" t="s">
        <v>421</v>
      </c>
      <c r="N1" s="565" t="s">
        <v>422</v>
      </c>
      <c r="O1" s="565" t="s">
        <v>423</v>
      </c>
      <c r="P1" s="565" t="s">
        <v>424</v>
      </c>
      <c r="Q1" s="565" t="s">
        <v>425</v>
      </c>
      <c r="R1" s="565" t="s">
        <v>671</v>
      </c>
      <c r="S1" s="565" t="s">
        <v>426</v>
      </c>
      <c r="T1" s="565" t="s">
        <v>944</v>
      </c>
      <c r="U1" s="565" t="s">
        <v>427</v>
      </c>
      <c r="V1" s="113" t="s">
        <v>428</v>
      </c>
      <c r="W1" s="113" t="s">
        <v>429</v>
      </c>
      <c r="X1" s="113" t="s">
        <v>531</v>
      </c>
      <c r="Y1" s="113" t="s">
        <v>532</v>
      </c>
      <c r="Z1" s="113" t="s">
        <v>533</v>
      </c>
      <c r="AA1" s="113" t="s">
        <v>534</v>
      </c>
      <c r="AB1" s="113" t="s">
        <v>430</v>
      </c>
      <c r="AC1" s="113" t="s">
        <v>431</v>
      </c>
      <c r="AD1" s="565" t="s">
        <v>458</v>
      </c>
      <c r="AE1" s="565" t="s">
        <v>459</v>
      </c>
      <c r="AF1" s="565" t="s">
        <v>432</v>
      </c>
      <c r="AG1" s="565" t="s">
        <v>433</v>
      </c>
      <c r="AH1" s="565" t="s">
        <v>434</v>
      </c>
      <c r="AI1" s="565" t="s">
        <v>435</v>
      </c>
      <c r="AJ1" s="565" t="s">
        <v>436</v>
      </c>
      <c r="AK1" s="565" t="s">
        <v>437</v>
      </c>
      <c r="AL1" s="565" t="s">
        <v>672</v>
      </c>
      <c r="AM1" s="565" t="s">
        <v>438</v>
      </c>
      <c r="AN1" s="565" t="s">
        <v>945</v>
      </c>
      <c r="AO1" s="565" t="s">
        <v>439</v>
      </c>
      <c r="AP1" s="113" t="s">
        <v>440</v>
      </c>
      <c r="AQ1" s="113" t="s">
        <v>441</v>
      </c>
      <c r="AR1" s="113" t="s">
        <v>535</v>
      </c>
      <c r="AS1" s="113" t="s">
        <v>536</v>
      </c>
      <c r="AT1" s="113" t="s">
        <v>537</v>
      </c>
      <c r="AU1" s="113" t="s">
        <v>538</v>
      </c>
      <c r="AV1" s="113" t="s">
        <v>442</v>
      </c>
      <c r="AW1" s="113" t="s">
        <v>443</v>
      </c>
      <c r="AX1" s="565" t="s">
        <v>460</v>
      </c>
      <c r="AY1" s="565" t="s">
        <v>461</v>
      </c>
      <c r="AZ1" s="565" t="s">
        <v>462</v>
      </c>
      <c r="BA1" s="565" t="s">
        <v>463</v>
      </c>
      <c r="BB1" s="565" t="s">
        <v>444</v>
      </c>
      <c r="BC1" s="565" t="s">
        <v>445</v>
      </c>
      <c r="BD1" s="565" t="s">
        <v>446</v>
      </c>
      <c r="BE1" s="565" t="s">
        <v>447</v>
      </c>
      <c r="BF1" s="565" t="s">
        <v>673</v>
      </c>
      <c r="BG1" s="565" t="s">
        <v>448</v>
      </c>
      <c r="BH1" s="565" t="s">
        <v>946</v>
      </c>
      <c r="BI1" s="565" t="s">
        <v>449</v>
      </c>
      <c r="BJ1" s="113" t="s">
        <v>450</v>
      </c>
      <c r="BK1" s="113" t="s">
        <v>451</v>
      </c>
      <c r="BL1" s="113" t="s">
        <v>539</v>
      </c>
      <c r="BM1" s="113" t="s">
        <v>540</v>
      </c>
      <c r="BN1" s="113" t="s">
        <v>541</v>
      </c>
      <c r="BO1" s="113" t="s">
        <v>542</v>
      </c>
      <c r="BP1" s="113" t="s">
        <v>452</v>
      </c>
      <c r="BQ1" s="113" t="s">
        <v>453</v>
      </c>
      <c r="BR1" s="565" t="s">
        <v>464</v>
      </c>
      <c r="BS1" s="565" t="s">
        <v>465</v>
      </c>
      <c r="BT1" s="565" t="s">
        <v>466</v>
      </c>
      <c r="BU1" s="565" t="s">
        <v>467</v>
      </c>
      <c r="BV1" s="565" t="s">
        <v>468</v>
      </c>
      <c r="BW1" s="565" t="s">
        <v>469</v>
      </c>
      <c r="BX1" s="565" t="s">
        <v>454</v>
      </c>
      <c r="BY1" s="565" t="s">
        <v>455</v>
      </c>
      <c r="BZ1" s="565" t="s">
        <v>674</v>
      </c>
      <c r="CA1" s="565" t="s">
        <v>456</v>
      </c>
      <c r="CB1" s="565" t="s">
        <v>947</v>
      </c>
      <c r="CC1" s="565" t="s">
        <v>457</v>
      </c>
      <c r="CD1" s="113" t="s">
        <v>470</v>
      </c>
      <c r="CE1" s="113" t="s">
        <v>471</v>
      </c>
      <c r="CF1" s="113" t="s">
        <v>472</v>
      </c>
      <c r="CG1" s="113" t="s">
        <v>473</v>
      </c>
      <c r="CH1" s="565" t="s">
        <v>676</v>
      </c>
      <c r="CI1" s="565" t="s">
        <v>677</v>
      </c>
      <c r="CJ1" s="565" t="s">
        <v>678</v>
      </c>
      <c r="CK1" s="565" t="s">
        <v>679</v>
      </c>
      <c r="CL1" s="565" t="s">
        <v>680</v>
      </c>
      <c r="CM1" s="565" t="s">
        <v>681</v>
      </c>
      <c r="CN1" s="565" t="s">
        <v>682</v>
      </c>
      <c r="CO1" s="113" t="s">
        <v>474</v>
      </c>
      <c r="CP1" s="113" t="s">
        <v>475</v>
      </c>
      <c r="CQ1" s="113" t="s">
        <v>476</v>
      </c>
      <c r="CR1" s="113" t="s">
        <v>477</v>
      </c>
      <c r="CS1" s="565" t="s">
        <v>478</v>
      </c>
      <c r="CT1" s="565" t="s">
        <v>479</v>
      </c>
      <c r="CU1" s="565" t="s">
        <v>480</v>
      </c>
      <c r="CV1" s="565" t="s">
        <v>481</v>
      </c>
      <c r="CW1" s="565" t="s">
        <v>675</v>
      </c>
      <c r="CX1" s="113" t="s">
        <v>482</v>
      </c>
      <c r="CY1" s="113" t="s">
        <v>483</v>
      </c>
      <c r="CZ1" s="113" t="s">
        <v>484</v>
      </c>
      <c r="DA1" s="565" t="s">
        <v>948</v>
      </c>
      <c r="DB1" s="565" t="s">
        <v>949</v>
      </c>
      <c r="DC1" s="565" t="s">
        <v>950</v>
      </c>
      <c r="DD1" s="565" t="s">
        <v>951</v>
      </c>
      <c r="DE1" s="565" t="s">
        <v>952</v>
      </c>
      <c r="DF1" s="113" t="s">
        <v>961</v>
      </c>
      <c r="DG1" s="113" t="s">
        <v>962</v>
      </c>
      <c r="DH1" s="113" t="s">
        <v>953</v>
      </c>
      <c r="DI1" s="113" t="s">
        <v>954</v>
      </c>
      <c r="DJ1" s="113" t="s">
        <v>955</v>
      </c>
      <c r="DK1" s="113" t="s">
        <v>956</v>
      </c>
      <c r="DL1" s="565" t="s">
        <v>957</v>
      </c>
      <c r="DM1" s="565" t="s">
        <v>958</v>
      </c>
      <c r="DN1" s="565" t="s">
        <v>959</v>
      </c>
      <c r="DO1" s="565" t="s">
        <v>960</v>
      </c>
      <c r="DP1" s="565" t="s">
        <v>963</v>
      </c>
      <c r="DQ1" s="565" t="s">
        <v>964</v>
      </c>
      <c r="DR1" s="113" t="s">
        <v>965</v>
      </c>
      <c r="DS1" s="113" t="s">
        <v>966</v>
      </c>
      <c r="DT1" s="113" t="s">
        <v>967</v>
      </c>
      <c r="DU1" s="113" t="s">
        <v>968</v>
      </c>
      <c r="DV1" s="113" t="s">
        <v>969</v>
      </c>
      <c r="DW1" s="113" t="s">
        <v>970</v>
      </c>
      <c r="DX1" s="565" t="s">
        <v>971</v>
      </c>
      <c r="DY1" s="565" t="s">
        <v>972</v>
      </c>
      <c r="DZ1" s="565" t="s">
        <v>973</v>
      </c>
      <c r="EA1" s="565" t="s">
        <v>974</v>
      </c>
      <c r="EB1" s="565" t="s">
        <v>975</v>
      </c>
      <c r="EC1" s="565" t="s">
        <v>976</v>
      </c>
      <c r="ED1" s="113" t="s">
        <v>977</v>
      </c>
      <c r="EE1" s="113" t="s">
        <v>978</v>
      </c>
      <c r="EF1" s="113" t="s">
        <v>979</v>
      </c>
      <c r="EG1" s="113" t="s">
        <v>980</v>
      </c>
      <c r="EH1" s="113" t="s">
        <v>981</v>
      </c>
      <c r="EI1" s="113" t="s">
        <v>982</v>
      </c>
      <c r="EJ1" s="565" t="s">
        <v>983</v>
      </c>
      <c r="EK1" s="565" t="s">
        <v>984</v>
      </c>
      <c r="EL1" s="565" t="s">
        <v>985</v>
      </c>
      <c r="EM1" s="565" t="s">
        <v>986</v>
      </c>
      <c r="EN1" s="565" t="s">
        <v>987</v>
      </c>
      <c r="EO1" s="565" t="s">
        <v>988</v>
      </c>
      <c r="EP1" s="113" t="s">
        <v>989</v>
      </c>
      <c r="EQ1" s="113" t="s">
        <v>990</v>
      </c>
      <c r="ER1" s="113" t="s">
        <v>991</v>
      </c>
      <c r="ES1" s="113" t="s">
        <v>992</v>
      </c>
      <c r="ET1" s="113" t="s">
        <v>993</v>
      </c>
      <c r="EU1" s="113" t="s">
        <v>994</v>
      </c>
      <c r="EV1" s="565" t="s">
        <v>995</v>
      </c>
      <c r="EW1" s="565" t="s">
        <v>996</v>
      </c>
      <c r="EX1" s="565" t="s">
        <v>997</v>
      </c>
      <c r="EY1" s="565" t="s">
        <v>998</v>
      </c>
      <c r="EZ1" s="565" t="s">
        <v>999</v>
      </c>
      <c r="FA1" s="565" t="s">
        <v>1000</v>
      </c>
      <c r="FB1" s="113" t="s">
        <v>1001</v>
      </c>
      <c r="FC1" s="113" t="s">
        <v>1002</v>
      </c>
      <c r="FD1" s="113" t="s">
        <v>1003</v>
      </c>
      <c r="FE1" s="113" t="s">
        <v>1004</v>
      </c>
      <c r="FF1" s="113" t="s">
        <v>1005</v>
      </c>
      <c r="FG1" s="113" t="s">
        <v>1006</v>
      </c>
      <c r="FH1" s="565" t="s">
        <v>1007</v>
      </c>
      <c r="FI1" s="565" t="s">
        <v>1008</v>
      </c>
      <c r="FJ1" s="565" t="s">
        <v>1009</v>
      </c>
      <c r="FK1" s="565" t="s">
        <v>1010</v>
      </c>
      <c r="FL1" s="565" t="s">
        <v>1011</v>
      </c>
      <c r="FM1" s="565" t="s">
        <v>1012</v>
      </c>
      <c r="FN1" s="113" t="s">
        <v>1013</v>
      </c>
      <c r="FO1" s="113" t="s">
        <v>1014</v>
      </c>
      <c r="FP1" s="113" t="s">
        <v>1015</v>
      </c>
      <c r="FQ1" s="113" t="s">
        <v>1016</v>
      </c>
      <c r="FR1" s="113" t="s">
        <v>1017</v>
      </c>
      <c r="FS1" s="113" t="s">
        <v>1018</v>
      </c>
      <c r="FT1" s="565" t="s">
        <v>1019</v>
      </c>
      <c r="FU1" s="565" t="s">
        <v>1020</v>
      </c>
      <c r="FV1" s="565" t="s">
        <v>1021</v>
      </c>
      <c r="FW1" s="565" t="s">
        <v>1022</v>
      </c>
      <c r="FX1" s="565" t="s">
        <v>1023</v>
      </c>
      <c r="FY1" s="565" t="s">
        <v>1024</v>
      </c>
      <c r="FZ1" s="113" t="s">
        <v>485</v>
      </c>
      <c r="GA1" s="113" t="s">
        <v>486</v>
      </c>
      <c r="GB1" s="113" t="s">
        <v>487</v>
      </c>
      <c r="GC1" s="113" t="s">
        <v>488</v>
      </c>
      <c r="GD1" s="113" t="s">
        <v>489</v>
      </c>
      <c r="GE1" s="113" t="s">
        <v>490</v>
      </c>
      <c r="GF1" s="113" t="s">
        <v>491</v>
      </c>
      <c r="GG1" s="113" t="s">
        <v>492</v>
      </c>
      <c r="GH1" s="113" t="s">
        <v>1025</v>
      </c>
      <c r="GI1" s="113" t="s">
        <v>493</v>
      </c>
      <c r="GJ1" s="113" t="s">
        <v>494</v>
      </c>
      <c r="GK1" s="113" t="s">
        <v>1026</v>
      </c>
      <c r="GL1" s="113" t="s">
        <v>1027</v>
      </c>
      <c r="GM1" s="113" t="s">
        <v>1029</v>
      </c>
      <c r="GN1" s="113" t="s">
        <v>1028</v>
      </c>
      <c r="GO1" s="113" t="s">
        <v>1030</v>
      </c>
      <c r="GP1" s="113" t="s">
        <v>495</v>
      </c>
      <c r="GQ1" s="113" t="s">
        <v>601</v>
      </c>
      <c r="GR1" s="113" t="s">
        <v>602</v>
      </c>
      <c r="GS1" s="113" t="s">
        <v>603</v>
      </c>
      <c r="GT1" s="113" t="s">
        <v>604</v>
      </c>
      <c r="GU1" s="113" t="s">
        <v>605</v>
      </c>
      <c r="GV1" s="113" t="s">
        <v>496</v>
      </c>
      <c r="GW1" s="113" t="s">
        <v>497</v>
      </c>
      <c r="GX1" s="113" t="s">
        <v>498</v>
      </c>
      <c r="GY1" s="113" t="s">
        <v>499</v>
      </c>
      <c r="GZ1" s="113" t="s">
        <v>500</v>
      </c>
      <c r="HA1" s="113" t="s">
        <v>1031</v>
      </c>
      <c r="HB1" s="113" t="s">
        <v>501</v>
      </c>
      <c r="HC1" s="113" t="s">
        <v>502</v>
      </c>
      <c r="HD1" s="113" t="s">
        <v>598</v>
      </c>
      <c r="HE1" s="113" t="s">
        <v>599</v>
      </c>
      <c r="HF1" s="113" t="s">
        <v>600</v>
      </c>
      <c r="HG1" s="113" t="s">
        <v>607</v>
      </c>
      <c r="HH1" s="113" t="s">
        <v>606</v>
      </c>
      <c r="HI1" s="113" t="s">
        <v>608</v>
      </c>
      <c r="HJ1" s="113" t="s">
        <v>609</v>
      </c>
      <c r="HK1" s="113" t="s">
        <v>610</v>
      </c>
      <c r="HL1" s="113" t="s">
        <v>611</v>
      </c>
      <c r="HM1" s="113" t="s">
        <v>612</v>
      </c>
      <c r="HN1" s="113" t="s">
        <v>613</v>
      </c>
      <c r="HO1" s="113" t="s">
        <v>614</v>
      </c>
      <c r="HP1" s="113" t="s">
        <v>615</v>
      </c>
      <c r="HQ1" s="113" t="s">
        <v>616</v>
      </c>
      <c r="HR1" s="113" t="s">
        <v>617</v>
      </c>
      <c r="HS1" s="113" t="s">
        <v>618</v>
      </c>
      <c r="HT1" s="113" t="s">
        <v>619</v>
      </c>
      <c r="HU1" s="113" t="s">
        <v>620</v>
      </c>
      <c r="HV1" s="113" t="s">
        <v>621</v>
      </c>
      <c r="HW1" s="113" t="s">
        <v>622</v>
      </c>
      <c r="HX1" s="113" t="s">
        <v>623</v>
      </c>
      <c r="HY1" s="113" t="s">
        <v>624</v>
      </c>
      <c r="HZ1" s="113" t="s">
        <v>625</v>
      </c>
      <c r="IA1" s="113" t="s">
        <v>626</v>
      </c>
      <c r="IB1" s="113" t="s">
        <v>627</v>
      </c>
      <c r="IC1" s="113" t="s">
        <v>628</v>
      </c>
      <c r="ID1" s="113" t="s">
        <v>629</v>
      </c>
      <c r="IE1" s="113" t="s">
        <v>630</v>
      </c>
      <c r="IF1" s="113" t="s">
        <v>631</v>
      </c>
      <c r="IG1" s="113" t="s">
        <v>632</v>
      </c>
      <c r="IH1" s="113" t="s">
        <v>633</v>
      </c>
      <c r="II1" s="113" t="s">
        <v>634</v>
      </c>
      <c r="IJ1" s="113" t="s">
        <v>635</v>
      </c>
      <c r="IK1" s="113" t="s">
        <v>636</v>
      </c>
      <c r="IL1" s="113" t="s">
        <v>637</v>
      </c>
      <c r="IM1" s="113" t="s">
        <v>638</v>
      </c>
      <c r="IN1" s="113" t="s">
        <v>639</v>
      </c>
      <c r="IO1" s="113" t="s">
        <v>640</v>
      </c>
      <c r="IP1" s="113" t="s">
        <v>641</v>
      </c>
      <c r="IQ1" s="113" t="s">
        <v>642</v>
      </c>
      <c r="IR1" s="113" t="s">
        <v>643</v>
      </c>
      <c r="IS1" s="113" t="s">
        <v>644</v>
      </c>
      <c r="IT1" s="113" t="s">
        <v>645</v>
      </c>
      <c r="IU1" s="113" t="s">
        <v>646</v>
      </c>
      <c r="IV1" s="113" t="s">
        <v>647</v>
      </c>
      <c r="IW1" s="113" t="s">
        <v>648</v>
      </c>
      <c r="IX1" s="113" t="s">
        <v>649</v>
      </c>
      <c r="IY1" s="113" t="s">
        <v>650</v>
      </c>
      <c r="IZ1" s="113" t="s">
        <v>651</v>
      </c>
      <c r="JA1" s="113" t="s">
        <v>652</v>
      </c>
      <c r="JB1" s="113" t="s">
        <v>653</v>
      </c>
      <c r="JC1" s="113" t="s">
        <v>654</v>
      </c>
      <c r="JD1" s="113" t="s">
        <v>655</v>
      </c>
      <c r="JE1" s="113" t="s">
        <v>656</v>
      </c>
      <c r="JF1" s="113" t="s">
        <v>657</v>
      </c>
      <c r="JG1" s="113" t="s">
        <v>658</v>
      </c>
      <c r="JH1" s="113" t="s">
        <v>659</v>
      </c>
      <c r="JI1" s="113" t="s">
        <v>660</v>
      </c>
      <c r="JJ1" s="113" t="s">
        <v>661</v>
      </c>
      <c r="JK1" s="113" t="s">
        <v>662</v>
      </c>
      <c r="JL1" s="113" t="s">
        <v>663</v>
      </c>
      <c r="JM1" s="113" t="s">
        <v>664</v>
      </c>
      <c r="JN1" s="113" t="s">
        <v>665</v>
      </c>
    </row>
    <row r="2" spans="1:274" x14ac:dyDescent="0.25">
      <c r="A2" s="113" t="str">
        <f>'Dateneingabe Mobilitäten'!C1</f>
        <v>&lt;-- Bitte Erasmus Code auswählen --&gt;</v>
      </c>
      <c r="B2" s="113">
        <f>'Dateneingabe Mobilitäten'!G4</f>
        <v>0</v>
      </c>
      <c r="C2" s="113">
        <f>'Dateneingabe Mobilitäten'!H4</f>
        <v>0</v>
      </c>
      <c r="D2" s="113">
        <f>'Dateneingabe Mobilitäten'!G5</f>
        <v>0</v>
      </c>
      <c r="E2" s="113">
        <f>'Dateneingabe Mobilitäten'!H5</f>
        <v>0</v>
      </c>
      <c r="F2" s="113">
        <f>'Dateneingabe Mobilitäten'!G6</f>
        <v>0</v>
      </c>
      <c r="G2" s="113">
        <f>'Dateneingabe Mobilitäten'!H6</f>
        <v>0</v>
      </c>
      <c r="H2" s="559">
        <f>'Dateneingabe Mobilitäten'!G7</f>
        <v>0</v>
      </c>
      <c r="I2" s="559">
        <f>'Dateneingabe Mobilitäten'!H7</f>
        <v>0</v>
      </c>
      <c r="J2" s="559">
        <f>'Dateneingabe Mobilitäten'!M7</f>
        <v>0</v>
      </c>
      <c r="K2" s="559">
        <f>'Dateneingabe Mobilitäten'!N7</f>
        <v>0</v>
      </c>
      <c r="L2" s="559">
        <f>'Dateneingabe Mobilitäten'!O7</f>
        <v>0</v>
      </c>
      <c r="M2" s="559">
        <f>'Dateneingabe Mobilitäten'!P7</f>
        <v>0</v>
      </c>
      <c r="N2" s="559">
        <f>'Dateneingabe Mobilitäten'!Q7</f>
        <v>0</v>
      </c>
      <c r="O2" s="559">
        <f>'Dateneingabe Mobilitäten'!R7</f>
        <v>0</v>
      </c>
      <c r="P2" s="559">
        <f>'Dateneingabe Mobilitäten'!S7</f>
        <v>0</v>
      </c>
      <c r="Q2" s="559">
        <f>'Dateneingabe Mobilitäten'!T7</f>
        <v>0</v>
      </c>
      <c r="R2" s="559">
        <f>'Dateneingabe Mobilitäten'!U7</f>
        <v>0</v>
      </c>
      <c r="S2" s="559">
        <f>'Dateneingabe Mobilitäten'!W7</f>
        <v>0</v>
      </c>
      <c r="T2" s="560">
        <f>'Dateneingabe Mobilitäten'!V7</f>
        <v>0</v>
      </c>
      <c r="U2" s="559">
        <f>'Dateneingabe Mobilitäten'!X7</f>
        <v>0</v>
      </c>
      <c r="V2" s="113">
        <f>'Dateneingabe Mobilitäten'!G9</f>
        <v>0</v>
      </c>
      <c r="W2" s="113">
        <f>'Dateneingabe Mobilitäten'!H9</f>
        <v>0</v>
      </c>
      <c r="X2" s="113">
        <f>'Dateneingabe Mobilitäten'!G10</f>
        <v>0</v>
      </c>
      <c r="Y2" s="113">
        <f>'Dateneingabe Mobilitäten'!H10</f>
        <v>0</v>
      </c>
      <c r="Z2" s="113">
        <f>'Dateneingabe Mobilitäten'!G11</f>
        <v>0</v>
      </c>
      <c r="AA2" s="113">
        <f>'Dateneingabe Mobilitäten'!H11</f>
        <v>0</v>
      </c>
      <c r="AB2" s="559">
        <f>'Dateneingabe Mobilitäten'!G12</f>
        <v>0</v>
      </c>
      <c r="AC2" s="559">
        <f>'Dateneingabe Mobilitäten'!H12</f>
        <v>0</v>
      </c>
      <c r="AD2" s="559">
        <f>'Dateneingabe Mobilitäten'!M12</f>
        <v>0</v>
      </c>
      <c r="AE2" s="559">
        <f>'Dateneingabe Mobilitäten'!N12</f>
        <v>0</v>
      </c>
      <c r="AF2" s="559">
        <f>'Dateneingabe Mobilitäten'!O12</f>
        <v>0</v>
      </c>
      <c r="AG2" s="559">
        <f>'Dateneingabe Mobilitäten'!P12</f>
        <v>0</v>
      </c>
      <c r="AH2" s="559">
        <f>'Dateneingabe Mobilitäten'!Q12</f>
        <v>0</v>
      </c>
      <c r="AI2" s="559">
        <f>'Dateneingabe Mobilitäten'!R12</f>
        <v>0</v>
      </c>
      <c r="AJ2" s="559">
        <f>'Dateneingabe Mobilitäten'!S12</f>
        <v>0</v>
      </c>
      <c r="AK2" s="559">
        <f>'Dateneingabe Mobilitäten'!T12</f>
        <v>0</v>
      </c>
      <c r="AL2" s="559">
        <f>'Dateneingabe Mobilitäten'!U12</f>
        <v>0</v>
      </c>
      <c r="AM2" s="559">
        <f>'Dateneingabe Mobilitäten'!W12</f>
        <v>0</v>
      </c>
      <c r="AN2" s="560">
        <f>'Dateneingabe Mobilitäten'!V12</f>
        <v>0</v>
      </c>
      <c r="AO2" s="559">
        <f>'Dateneingabe Mobilitäten'!X12</f>
        <v>0</v>
      </c>
      <c r="AP2" s="113">
        <f>'Dateneingabe Mobilitäten'!G19</f>
        <v>0</v>
      </c>
      <c r="AQ2" s="113">
        <f>'Dateneingabe Mobilitäten'!H19</f>
        <v>0</v>
      </c>
      <c r="AR2" s="113">
        <f>'Dateneingabe Mobilitäten'!G20</f>
        <v>0</v>
      </c>
      <c r="AS2" s="113">
        <f>'Dateneingabe Mobilitäten'!H20</f>
        <v>0</v>
      </c>
      <c r="AT2" s="113">
        <f>'Dateneingabe Mobilitäten'!G21</f>
        <v>0</v>
      </c>
      <c r="AU2" s="113">
        <f>'Dateneingabe Mobilitäten'!H21</f>
        <v>0</v>
      </c>
      <c r="AV2" s="559">
        <f>'Dateneingabe Mobilitäten'!G22</f>
        <v>0</v>
      </c>
      <c r="AW2" s="559">
        <f>'Dateneingabe Mobilitäten'!H22</f>
        <v>0</v>
      </c>
      <c r="AX2" s="559">
        <f>'Dateneingabe Mobilitäten'!M22</f>
        <v>0</v>
      </c>
      <c r="AY2" s="559">
        <f>'Dateneingabe Mobilitäten'!N22</f>
        <v>0</v>
      </c>
      <c r="AZ2" s="559">
        <f>'Dateneingabe Mobilitäten'!O22</f>
        <v>0</v>
      </c>
      <c r="BA2" s="559">
        <f>'Dateneingabe Mobilitäten'!P22</f>
        <v>0</v>
      </c>
      <c r="BB2" s="559">
        <f>'Dateneingabe Mobilitäten'!Q22</f>
        <v>0</v>
      </c>
      <c r="BC2" s="559">
        <f>'Dateneingabe Mobilitäten'!R22</f>
        <v>0</v>
      </c>
      <c r="BD2" s="559">
        <f>'Dateneingabe Mobilitäten'!S22</f>
        <v>0</v>
      </c>
      <c r="BE2" s="559">
        <f>'Dateneingabe Mobilitäten'!T22</f>
        <v>0</v>
      </c>
      <c r="BF2" s="559">
        <f>'Dateneingabe Mobilitäten'!U22</f>
        <v>0</v>
      </c>
      <c r="BG2" s="559">
        <f>'Dateneingabe Mobilitäten'!W22</f>
        <v>0</v>
      </c>
      <c r="BH2" s="560">
        <f>'Dateneingabe Mobilitäten'!V22</f>
        <v>0</v>
      </c>
      <c r="BI2" s="559">
        <f>'Dateneingabe Mobilitäten'!X22</f>
        <v>0</v>
      </c>
      <c r="BJ2" s="113">
        <f>'Dateneingabe Mobilitäten'!G24</f>
        <v>0</v>
      </c>
      <c r="BK2" s="113">
        <f>'Dateneingabe Mobilitäten'!H24</f>
        <v>0</v>
      </c>
      <c r="BL2" s="113">
        <f>'Dateneingabe Mobilitäten'!G25</f>
        <v>0</v>
      </c>
      <c r="BM2" s="113">
        <f>'Dateneingabe Mobilitäten'!H25</f>
        <v>0</v>
      </c>
      <c r="BN2" s="113">
        <f>'Dateneingabe Mobilitäten'!G26</f>
        <v>0</v>
      </c>
      <c r="BO2" s="113">
        <f>'Dateneingabe Mobilitäten'!H26</f>
        <v>0</v>
      </c>
      <c r="BP2" s="559">
        <f>'Dateneingabe Mobilitäten'!G27</f>
        <v>0</v>
      </c>
      <c r="BQ2" s="559">
        <f>'Dateneingabe Mobilitäten'!H27</f>
        <v>0</v>
      </c>
      <c r="BR2" s="559">
        <f>'Dateneingabe Mobilitäten'!M27</f>
        <v>0</v>
      </c>
      <c r="BS2" s="559">
        <f>'Dateneingabe Mobilitäten'!N27</f>
        <v>0</v>
      </c>
      <c r="BT2" s="559">
        <f>'Dateneingabe Mobilitäten'!O27</f>
        <v>0</v>
      </c>
      <c r="BU2" s="559">
        <f>'Dateneingabe Mobilitäten'!P27</f>
        <v>0</v>
      </c>
      <c r="BV2" s="559">
        <f>'Dateneingabe Mobilitäten'!Q27</f>
        <v>0</v>
      </c>
      <c r="BW2" s="559">
        <f>'Dateneingabe Mobilitäten'!R27</f>
        <v>0</v>
      </c>
      <c r="BX2" s="559">
        <f>'Dateneingabe Mobilitäten'!S27</f>
        <v>0</v>
      </c>
      <c r="BY2" s="559">
        <f>'Dateneingabe Mobilitäten'!T27</f>
        <v>0</v>
      </c>
      <c r="BZ2" s="559">
        <f>'Dateneingabe Mobilitäten'!U27</f>
        <v>0</v>
      </c>
      <c r="CA2" s="559">
        <f>'Dateneingabe Mobilitäten'!W27</f>
        <v>0</v>
      </c>
      <c r="CB2" s="560">
        <f>'Dateneingabe Mobilitäten'!V27</f>
        <v>0</v>
      </c>
      <c r="CC2" s="559">
        <f>'Dateneingabe Mobilitäten'!X27</f>
        <v>0</v>
      </c>
      <c r="CD2" s="113">
        <f>'Dateneingabe Mobilitäten'!G34</f>
        <v>0</v>
      </c>
      <c r="CE2" s="113">
        <f>'Dateneingabe Mobilitäten'!H34</f>
        <v>0</v>
      </c>
      <c r="CF2" s="559">
        <f>'Dateneingabe Mobilitäten'!G35</f>
        <v>0</v>
      </c>
      <c r="CG2" s="559">
        <f>'Dateneingabe Mobilitäten'!H35</f>
        <v>0</v>
      </c>
      <c r="CH2" s="559">
        <f>'Dateneingabe Mobilitäten'!M36</f>
        <v>0</v>
      </c>
      <c r="CI2" s="559">
        <f>'Dateneingabe Mobilitäten'!O36</f>
        <v>0</v>
      </c>
      <c r="CJ2" s="559">
        <f>'Dateneingabe Mobilitäten'!Q36</f>
        <v>0</v>
      </c>
      <c r="CK2" s="559">
        <f>'Dateneingabe Mobilitäten'!S36</f>
        <v>0</v>
      </c>
      <c r="CL2" s="559">
        <f>'Dateneingabe Mobilitäten'!W36</f>
        <v>0</v>
      </c>
      <c r="CM2" s="560"/>
      <c r="CN2" s="559">
        <f>'Dateneingabe Mobilitäten'!X36</f>
        <v>0</v>
      </c>
      <c r="CO2" s="113">
        <f>'Dateneingabe Mobilitäten'!G40</f>
        <v>0</v>
      </c>
      <c r="CP2" s="113">
        <f>'Dateneingabe Mobilitäten'!H40</f>
        <v>0</v>
      </c>
      <c r="CQ2" s="561">
        <f>'Dateneingabe Mobilitäten'!I41</f>
        <v>0</v>
      </c>
      <c r="CR2" s="561">
        <f>'Dateneingabe Mobilitäten'!I42</f>
        <v>0</v>
      </c>
      <c r="CS2" s="559">
        <f>'Dateneingabe Mobilitäten'!N42</f>
        <v>0</v>
      </c>
      <c r="CT2" s="559">
        <f>'Dateneingabe Mobilitäten'!P42</f>
        <v>0</v>
      </c>
      <c r="CU2" s="559">
        <f>'Dateneingabe Mobilitäten'!R42</f>
        <v>0</v>
      </c>
      <c r="CV2" s="559">
        <f>'Dateneingabe Mobilitäten'!S42</f>
        <v>0</v>
      </c>
      <c r="CW2" s="559">
        <f>'Dateneingabe Mobilitäten'!U42</f>
        <v>0</v>
      </c>
      <c r="CX2" s="559">
        <f>'Dateneingabe Mobilitäten'!G45</f>
        <v>0</v>
      </c>
      <c r="CY2" s="113">
        <f>'Dateneingabe Mobilitäten'!H45</f>
        <v>0</v>
      </c>
      <c r="CZ2" s="559">
        <f>'Dateneingabe Mobilitäten'!I47</f>
        <v>0</v>
      </c>
      <c r="DA2" s="559">
        <f>'Dateneingabe Mobilitäten'!M47</f>
        <v>0</v>
      </c>
      <c r="DB2" s="559">
        <f>'Dateneingabe Mobilitäten'!O47</f>
        <v>0</v>
      </c>
      <c r="DC2" s="559">
        <f>'Dateneingabe Mobilitäten'!Q47</f>
        <v>0</v>
      </c>
      <c r="DD2" s="559">
        <f>'Dateneingabe Mobilitäten'!S47</f>
        <v>0</v>
      </c>
      <c r="DE2" s="559">
        <f>'Dateneingabe Mobilitäten'!X47</f>
        <v>0</v>
      </c>
      <c r="DF2" s="113">
        <f>'Dateneingabe Mobilitäten'!G52</f>
        <v>0</v>
      </c>
      <c r="DG2" s="113">
        <f>'Dateneingabe Mobilitäten'!H52</f>
        <v>0</v>
      </c>
      <c r="DH2" s="113">
        <f>'Dateneingabe Mobilitäten'!G53</f>
        <v>0</v>
      </c>
      <c r="DI2" s="113">
        <f>'Dateneingabe Mobilitäten'!H53</f>
        <v>0</v>
      </c>
      <c r="DJ2" s="559">
        <f>'Dateneingabe Mobilitäten'!G54</f>
        <v>0</v>
      </c>
      <c r="DK2" s="559">
        <f>'Dateneingabe Mobilitäten'!H54</f>
        <v>0</v>
      </c>
      <c r="DL2" s="559">
        <f>'Dateneingabe Mobilitäten'!N54</f>
        <v>0</v>
      </c>
      <c r="DM2" s="559">
        <f>'Dateneingabe Mobilitäten'!P54</f>
        <v>0</v>
      </c>
      <c r="DN2" s="559">
        <f>'Dateneingabe Mobilitäten'!R54</f>
        <v>0</v>
      </c>
      <c r="DO2" s="559">
        <f>'Dateneingabe Mobilitäten'!T54</f>
        <v>0</v>
      </c>
      <c r="DP2" s="559">
        <f>'Dateneingabe Mobilitäten'!U54</f>
        <v>0</v>
      </c>
      <c r="DQ2" s="559">
        <f>'Dateneingabe Mobilitäten'!V54</f>
        <v>0</v>
      </c>
      <c r="DR2" s="559">
        <f>'Dateneingabe Mobilitäten'!G56</f>
        <v>0</v>
      </c>
      <c r="DS2" s="559">
        <f>'Dateneingabe Mobilitäten'!H56</f>
        <v>0</v>
      </c>
      <c r="DT2" s="113">
        <f>'Dateneingabe Mobilitäten'!G57</f>
        <v>0</v>
      </c>
      <c r="DU2" s="113">
        <f>'Dateneingabe Mobilitäten'!H57</f>
        <v>0</v>
      </c>
      <c r="DV2" s="559">
        <f>'Dateneingabe Mobilitäten'!G58</f>
        <v>0</v>
      </c>
      <c r="DW2" s="559">
        <f>'Dateneingabe Mobilitäten'!H58</f>
        <v>0</v>
      </c>
      <c r="DX2" s="559">
        <f>'Dateneingabe Mobilitäten'!N58</f>
        <v>0</v>
      </c>
      <c r="DY2" s="559">
        <f>'Dateneingabe Mobilitäten'!P58</f>
        <v>0</v>
      </c>
      <c r="DZ2" s="559">
        <f>'Dateneingabe Mobilitäten'!R58</f>
        <v>0</v>
      </c>
      <c r="EA2" s="559">
        <f>'Dateneingabe Mobilitäten'!T58</f>
        <v>0</v>
      </c>
      <c r="EB2" s="559">
        <f>'Dateneingabe Mobilitäten'!U58</f>
        <v>0</v>
      </c>
      <c r="EC2" s="559">
        <f>'Dateneingabe Mobilitäten'!V58</f>
        <v>0</v>
      </c>
      <c r="ED2" s="113">
        <f>'Dateneingabe Mobilitäten'!G60</f>
        <v>0</v>
      </c>
      <c r="EE2" s="113">
        <f>'Dateneingabe Mobilitäten'!H60</f>
        <v>0</v>
      </c>
      <c r="EF2" s="113">
        <f>'Dateneingabe Mobilitäten'!G61</f>
        <v>0</v>
      </c>
      <c r="EG2" s="113">
        <f>'Dateneingabe Mobilitäten'!H61</f>
        <v>0</v>
      </c>
      <c r="EH2" s="559">
        <f>'Dateneingabe Mobilitäten'!G62</f>
        <v>0</v>
      </c>
      <c r="EI2" s="559">
        <f>'Dateneingabe Mobilitäten'!H62</f>
        <v>0</v>
      </c>
      <c r="EJ2" s="559">
        <f>'Dateneingabe Mobilitäten'!N62</f>
        <v>0</v>
      </c>
      <c r="EK2" s="559">
        <f>'Dateneingabe Mobilitäten'!P62</f>
        <v>0</v>
      </c>
      <c r="EL2" s="559">
        <f>'Dateneingabe Mobilitäten'!R62</f>
        <v>0</v>
      </c>
      <c r="EM2" s="559">
        <f>'Dateneingabe Mobilitäten'!T62</f>
        <v>0</v>
      </c>
      <c r="EN2" s="559">
        <f>'Dateneingabe Mobilitäten'!U62</f>
        <v>0</v>
      </c>
      <c r="EO2" s="559">
        <f>'Dateneingabe Mobilitäten'!V62</f>
        <v>0</v>
      </c>
      <c r="EP2" s="113">
        <f>'Dateneingabe Mobilitäten'!G64</f>
        <v>0</v>
      </c>
      <c r="EQ2" s="113">
        <f>'Dateneingabe Mobilitäten'!H64</f>
        <v>0</v>
      </c>
      <c r="ER2" s="113">
        <f>'Dateneingabe Mobilitäten'!G65</f>
        <v>0</v>
      </c>
      <c r="ES2" s="113">
        <f>'Dateneingabe Mobilitäten'!H65</f>
        <v>0</v>
      </c>
      <c r="ET2" s="559">
        <f>'Dateneingabe Mobilitäten'!G66</f>
        <v>0</v>
      </c>
      <c r="EU2" s="559">
        <f>'Dateneingabe Mobilitäten'!H66</f>
        <v>0</v>
      </c>
      <c r="EV2" s="559">
        <f>'Dateneingabe Mobilitäten'!N66</f>
        <v>0</v>
      </c>
      <c r="EW2" s="559">
        <f>'Dateneingabe Mobilitäten'!P66</f>
        <v>0</v>
      </c>
      <c r="EX2" s="559">
        <f>'Dateneingabe Mobilitäten'!R66</f>
        <v>0</v>
      </c>
      <c r="EY2" s="559">
        <f>'Dateneingabe Mobilitäten'!T66</f>
        <v>0</v>
      </c>
      <c r="EZ2" s="559">
        <f>'Dateneingabe Mobilitäten'!U66</f>
        <v>0</v>
      </c>
      <c r="FA2" s="559">
        <f>'Dateneingabe Mobilitäten'!V66</f>
        <v>0</v>
      </c>
      <c r="FB2" s="113">
        <f>'Dateneingabe Mobilitäten'!G68</f>
        <v>0</v>
      </c>
      <c r="FC2" s="113">
        <f>'Dateneingabe Mobilitäten'!H68</f>
        <v>0</v>
      </c>
      <c r="FD2" s="113">
        <f>'Dateneingabe Mobilitäten'!G69</f>
        <v>0</v>
      </c>
      <c r="FE2" s="113">
        <f>'Dateneingabe Mobilitäten'!H69</f>
        <v>0</v>
      </c>
      <c r="FF2" s="559">
        <f>'Dateneingabe Mobilitäten'!G70</f>
        <v>0</v>
      </c>
      <c r="FG2" s="559">
        <f>'Dateneingabe Mobilitäten'!H70</f>
        <v>0</v>
      </c>
      <c r="FH2" s="559">
        <f>'Dateneingabe Mobilitäten'!N70</f>
        <v>0</v>
      </c>
      <c r="FI2" s="559">
        <f>'Dateneingabe Mobilitäten'!P70</f>
        <v>0</v>
      </c>
      <c r="FJ2" s="559">
        <f>'Dateneingabe Mobilitäten'!R70</f>
        <v>0</v>
      </c>
      <c r="FK2" s="559">
        <f>'Dateneingabe Mobilitäten'!T70</f>
        <v>0</v>
      </c>
      <c r="FL2" s="559">
        <f>'Dateneingabe Mobilitäten'!U70</f>
        <v>0</v>
      </c>
      <c r="FM2" s="559">
        <f>'Dateneingabe Mobilitäten'!V70</f>
        <v>0</v>
      </c>
      <c r="FN2" s="559">
        <f>'Dateneingabe Mobilitäten'!G72</f>
        <v>0</v>
      </c>
      <c r="FO2" s="559">
        <f>'Dateneingabe Mobilitäten'!H72</f>
        <v>0</v>
      </c>
      <c r="FP2" s="559">
        <f>'Dateneingabe Mobilitäten'!G73</f>
        <v>0</v>
      </c>
      <c r="FQ2" s="559">
        <f>'Dateneingabe Mobilitäten'!H73</f>
        <v>0</v>
      </c>
      <c r="FR2" s="559">
        <f>'Dateneingabe Mobilitäten'!G74</f>
        <v>0</v>
      </c>
      <c r="FS2" s="559">
        <f>'Dateneingabe Mobilitäten'!H74</f>
        <v>0</v>
      </c>
      <c r="FT2" s="559">
        <f>'Dateneingabe Mobilitäten'!N74</f>
        <v>0</v>
      </c>
      <c r="FU2" s="559">
        <f>'Dateneingabe Mobilitäten'!P74</f>
        <v>0</v>
      </c>
      <c r="FV2" s="559">
        <f>'Dateneingabe Mobilitäten'!R74</f>
        <v>0</v>
      </c>
      <c r="FW2" s="559">
        <f>'Dateneingabe Mobilitäten'!T74</f>
        <v>0</v>
      </c>
      <c r="FX2" s="559">
        <f>'Dateneingabe Mobilitäten'!U74</f>
        <v>0</v>
      </c>
      <c r="FY2" s="559">
        <f>'Dateneingabe Mobilitäten'!V74</f>
        <v>0</v>
      </c>
      <c r="FZ2" s="559">
        <f>'Ausdruck 1'!E38</f>
        <v>0</v>
      </c>
      <c r="GA2" s="559"/>
      <c r="GB2" s="559">
        <f>'Ausdruck 1'!E39</f>
        <v>0</v>
      </c>
      <c r="GC2" s="559"/>
      <c r="GD2" s="559">
        <f>'Ausdruck 1'!E40</f>
        <v>0</v>
      </c>
      <c r="GE2" s="559"/>
      <c r="GF2" s="559">
        <f>'Ausdruck 1'!E41</f>
        <v>0</v>
      </c>
      <c r="GG2" s="559"/>
      <c r="GH2" s="559">
        <f>'Ausdruck 1'!E43</f>
        <v>0</v>
      </c>
      <c r="GI2" s="559">
        <f>'Ausdruck 1'!E45</f>
        <v>0</v>
      </c>
      <c r="GJ2" s="559"/>
      <c r="GK2" s="559">
        <f>'Ausdruck 1'!E47</f>
        <v>0</v>
      </c>
      <c r="GL2" s="559">
        <f>('Dateneingabe Mobilitäten'!Z54+'Dateneingabe Mobilitäten'!Z58+'Dateneingabe Mobilitäten'!Z62+'Dateneingabe Mobilitäten'!Z66+'Dateneingabe Mobilitäten'!Z70+'Dateneingabe Mobilitäten'!Z74)*-1</f>
        <v>0</v>
      </c>
      <c r="GM2" s="559">
        <f>'Dateneingabe zusätzliche BIPs'!D29</f>
        <v>0</v>
      </c>
      <c r="GN2" s="559">
        <f>BIPs_NEU[[#Totals],[Beantragter Betrag]]</f>
        <v>0</v>
      </c>
      <c r="GO2" s="559">
        <f>'Ausdruck 3'!F30</f>
        <v>0</v>
      </c>
      <c r="GP2" s="113">
        <f>'Ausdruck 3'!L37</f>
        <v>0</v>
      </c>
      <c r="GQ2" s="113">
        <f>'Ausdruck 3'!L38</f>
        <v>0</v>
      </c>
      <c r="GR2" s="113">
        <f>'Ausdruck 3'!L39</f>
        <v>0</v>
      </c>
      <c r="GS2" s="113">
        <f>'Ausdruck 3'!L40</f>
        <v>0</v>
      </c>
      <c r="GT2" s="113">
        <f>'Ausdruck 3'!L41</f>
        <v>0</v>
      </c>
      <c r="GU2" s="113">
        <f>'Ausdruck 3'!L42</f>
        <v>0</v>
      </c>
      <c r="GV2" s="559">
        <f>'Ausdruck 3'!L46</f>
        <v>0</v>
      </c>
      <c r="GW2" s="559">
        <f>'Ausdruck 3'!L47</f>
        <v>0</v>
      </c>
      <c r="GX2" s="559">
        <f>'Ausdruck 3'!L48</f>
        <v>0</v>
      </c>
      <c r="GY2" s="559">
        <f>'Ausdruck 3'!L49</f>
        <v>0</v>
      </c>
      <c r="GZ2" s="562" t="str">
        <f>'Ausdruck 3'!L51</f>
        <v>keine Vorauszahlung</v>
      </c>
      <c r="HA2" s="568">
        <f>'Ausdruck 3'!L53</f>
        <v>0</v>
      </c>
      <c r="HB2" s="563">
        <f>'Ausdruck 1'!B72</f>
        <v>0</v>
      </c>
      <c r="HC2" s="563">
        <f>'Ausdruck 1'!F72</f>
        <v>0</v>
      </c>
      <c r="HD2" s="563">
        <f>'Ausdruck 3'!B61</f>
        <v>0</v>
      </c>
      <c r="HE2" s="563">
        <f>'Ausdruck 3'!B75</f>
        <v>0</v>
      </c>
      <c r="HF2" s="563">
        <f>'Ausdruck 3'!F75</f>
        <v>0</v>
      </c>
      <c r="HG2" s="113" t="str">
        <f>'Dateneingabe zusätzliche BIPs'!B7</f>
        <v/>
      </c>
      <c r="HH2" s="113">
        <f>'Dateneingabe zusätzliche BIPs'!D7</f>
        <v>0</v>
      </c>
      <c r="HI2" s="561">
        <f>'Dateneingabe zusätzliche BIPs'!E7</f>
        <v>0</v>
      </c>
      <c r="HJ2" s="561" t="str">
        <f>'Dateneingabe zusätzliche BIPs'!B8</f>
        <v/>
      </c>
      <c r="HK2" s="561">
        <f>'Dateneingabe zusätzliche BIPs'!D8</f>
        <v>0</v>
      </c>
      <c r="HL2" s="561">
        <f>'Dateneingabe zusätzliche BIPs'!E8</f>
        <v>0</v>
      </c>
      <c r="HM2" s="561" t="str">
        <f>'Dateneingabe zusätzliche BIPs'!B9</f>
        <v/>
      </c>
      <c r="HN2" s="561">
        <f>'Dateneingabe zusätzliche BIPs'!D9</f>
        <v>0</v>
      </c>
      <c r="HO2" s="561">
        <f>'Dateneingabe zusätzliche BIPs'!E9</f>
        <v>0</v>
      </c>
      <c r="HP2" s="561" t="str">
        <f>'Dateneingabe zusätzliche BIPs'!B10</f>
        <v/>
      </c>
      <c r="HQ2" s="561">
        <f>'Dateneingabe zusätzliche BIPs'!D10</f>
        <v>0</v>
      </c>
      <c r="HR2" s="561">
        <f>'Dateneingabe zusätzliche BIPs'!E10</f>
        <v>0</v>
      </c>
      <c r="HS2" s="561" t="str">
        <f>'Dateneingabe zusätzliche BIPs'!B11</f>
        <v/>
      </c>
      <c r="HT2" s="561">
        <f>'Dateneingabe zusätzliche BIPs'!D11</f>
        <v>0</v>
      </c>
      <c r="HU2" s="561">
        <f>'Dateneingabe zusätzliche BIPs'!E11</f>
        <v>0</v>
      </c>
      <c r="HV2" s="561" t="str">
        <f>'Dateneingabe zusätzliche BIPs'!B12</f>
        <v/>
      </c>
      <c r="HW2" s="561">
        <f>'Dateneingabe zusätzliche BIPs'!D12</f>
        <v>0</v>
      </c>
      <c r="HX2" s="561">
        <f>'Dateneingabe zusätzliche BIPs'!E12</f>
        <v>0</v>
      </c>
      <c r="HY2" s="561" t="str">
        <f>'Dateneingabe zusätzliche BIPs'!B13</f>
        <v/>
      </c>
      <c r="HZ2" s="561">
        <f>'Dateneingabe zusätzliche BIPs'!D13</f>
        <v>0</v>
      </c>
      <c r="IA2" s="561">
        <f>'Dateneingabe zusätzliche BIPs'!E13</f>
        <v>0</v>
      </c>
      <c r="IB2" s="561" t="str">
        <f>'Dateneingabe zusätzliche BIPs'!B14</f>
        <v/>
      </c>
      <c r="IC2" s="561">
        <f>'Dateneingabe zusätzliche BIPs'!D14</f>
        <v>0</v>
      </c>
      <c r="ID2" s="561">
        <f>'Dateneingabe zusätzliche BIPs'!E14</f>
        <v>0</v>
      </c>
      <c r="IE2" s="561" t="str">
        <f>'Dateneingabe zusätzliche BIPs'!B15</f>
        <v/>
      </c>
      <c r="IF2" s="561">
        <f>'Dateneingabe zusätzliche BIPs'!D15</f>
        <v>0</v>
      </c>
      <c r="IG2" s="561">
        <f>'Dateneingabe zusätzliche BIPs'!E15</f>
        <v>0</v>
      </c>
      <c r="IH2" s="561" t="str">
        <f>'Dateneingabe zusätzliche BIPs'!B16</f>
        <v/>
      </c>
      <c r="II2" s="561">
        <f>'Dateneingabe zusätzliche BIPs'!D16</f>
        <v>0</v>
      </c>
      <c r="IJ2" s="561">
        <f>'Dateneingabe zusätzliche BIPs'!E16</f>
        <v>0</v>
      </c>
      <c r="IK2" s="561" t="str">
        <f>'Dateneingabe zusätzliche BIPs'!B17</f>
        <v/>
      </c>
      <c r="IL2" s="561">
        <f>'Dateneingabe zusätzliche BIPs'!D17</f>
        <v>0</v>
      </c>
      <c r="IM2" s="561">
        <f>'Dateneingabe zusätzliche BIPs'!E17</f>
        <v>0</v>
      </c>
      <c r="IN2" s="561" t="str">
        <f>'Dateneingabe zusätzliche BIPs'!B18</f>
        <v/>
      </c>
      <c r="IO2" s="561">
        <f>'Dateneingabe zusätzliche BIPs'!D18</f>
        <v>0</v>
      </c>
      <c r="IP2" s="561">
        <f>'Dateneingabe zusätzliche BIPs'!E18</f>
        <v>0</v>
      </c>
      <c r="IQ2" s="561" t="str">
        <f>'Dateneingabe zusätzliche BIPs'!B19</f>
        <v/>
      </c>
      <c r="IR2" s="561">
        <f>'Dateneingabe zusätzliche BIPs'!D19</f>
        <v>0</v>
      </c>
      <c r="IS2" s="561">
        <f>'Dateneingabe zusätzliche BIPs'!E19</f>
        <v>0</v>
      </c>
      <c r="IT2" s="561" t="str">
        <f>'Dateneingabe zusätzliche BIPs'!B20</f>
        <v/>
      </c>
      <c r="IU2" s="561">
        <f>'Dateneingabe zusätzliche BIPs'!D20</f>
        <v>0</v>
      </c>
      <c r="IV2" s="561">
        <f>'Dateneingabe zusätzliche BIPs'!E20</f>
        <v>0</v>
      </c>
      <c r="IW2" s="561" t="str">
        <f>'Dateneingabe zusätzliche BIPs'!B21</f>
        <v/>
      </c>
      <c r="IX2" s="561">
        <f>'Dateneingabe zusätzliche BIPs'!D21</f>
        <v>0</v>
      </c>
      <c r="IY2" s="561">
        <f>'Dateneingabe zusätzliche BIPs'!E21</f>
        <v>0</v>
      </c>
      <c r="IZ2" s="561" t="str">
        <f>'Dateneingabe zusätzliche BIPs'!B22</f>
        <v/>
      </c>
      <c r="JA2" s="561">
        <f>'Dateneingabe zusätzliche BIPs'!D22</f>
        <v>0</v>
      </c>
      <c r="JB2" s="561">
        <f>'Dateneingabe zusätzliche BIPs'!E22</f>
        <v>0</v>
      </c>
      <c r="JC2" s="561" t="str">
        <f>'Dateneingabe zusätzliche BIPs'!B23</f>
        <v/>
      </c>
      <c r="JD2" s="561">
        <f>'Dateneingabe zusätzliche BIPs'!D23</f>
        <v>0</v>
      </c>
      <c r="JE2" s="561">
        <f>'Dateneingabe zusätzliche BIPs'!E23</f>
        <v>0</v>
      </c>
      <c r="JF2" s="561" t="str">
        <f>'Dateneingabe zusätzliche BIPs'!B24</f>
        <v/>
      </c>
      <c r="JG2" s="561">
        <f>'Dateneingabe zusätzliche BIPs'!D24</f>
        <v>0</v>
      </c>
      <c r="JH2" s="561">
        <f>'Dateneingabe zusätzliche BIPs'!E24</f>
        <v>0</v>
      </c>
      <c r="JI2" s="561" t="str">
        <f>'Dateneingabe zusätzliche BIPs'!B25</f>
        <v/>
      </c>
      <c r="JJ2" s="561">
        <f>'Dateneingabe zusätzliche BIPs'!D25</f>
        <v>0</v>
      </c>
      <c r="JK2" s="561">
        <f>'Dateneingabe zusätzliche BIPs'!E25</f>
        <v>0</v>
      </c>
      <c r="JL2" s="561" t="str">
        <f>'Dateneingabe zusätzliche BIPs'!B26</f>
        <v/>
      </c>
      <c r="JM2" s="561">
        <f>'Dateneingabe zusätzliche BIPs'!D26</f>
        <v>0</v>
      </c>
      <c r="JN2" s="561">
        <f>'Dateneingabe zusätzliche BIPs'!E26</f>
        <v>0</v>
      </c>
    </row>
    <row r="3" spans="1:274" x14ac:dyDescent="0.25">
      <c r="GJ3" s="564"/>
      <c r="GK3" s="564"/>
      <c r="GL3" s="564"/>
      <c r="GM3" s="564"/>
      <c r="GN3" s="564"/>
    </row>
    <row r="4" spans="1:274" x14ac:dyDescent="0.25">
      <c r="HG4" s="561"/>
    </row>
    <row r="7" spans="1:274" x14ac:dyDescent="0.25">
      <c r="HG7" s="561"/>
    </row>
    <row r="10" spans="1:274" x14ac:dyDescent="0.25">
      <c r="HG10" s="561"/>
    </row>
    <row r="12" spans="1:274" x14ac:dyDescent="0.25">
      <c r="HG12" s="561"/>
    </row>
    <row r="15" spans="1:274" x14ac:dyDescent="0.25">
      <c r="HG15" s="561"/>
    </row>
    <row r="18" spans="215:215" x14ac:dyDescent="0.25">
      <c r="HG18" s="561"/>
    </row>
    <row r="21" spans="215:215" x14ac:dyDescent="0.25">
      <c r="HG21" s="561"/>
    </row>
    <row r="24" spans="215:215" x14ac:dyDescent="0.25">
      <c r="HG24" s="561"/>
    </row>
    <row r="27" spans="215:215" x14ac:dyDescent="0.25">
      <c r="HG27" s="561"/>
    </row>
    <row r="30" spans="215:215" x14ac:dyDescent="0.25">
      <c r="HG30" s="561"/>
    </row>
    <row r="33" spans="215:215" x14ac:dyDescent="0.25">
      <c r="HG33" s="561"/>
    </row>
    <row r="36" spans="215:215" x14ac:dyDescent="0.25">
      <c r="HG36" s="561"/>
    </row>
    <row r="41" spans="215:215" x14ac:dyDescent="0.25">
      <c r="HG41" s="561"/>
    </row>
    <row r="44" spans="215:215" x14ac:dyDescent="0.25">
      <c r="HG44" s="561"/>
    </row>
    <row r="47" spans="215:215" x14ac:dyDescent="0.25">
      <c r="HG47" s="561"/>
    </row>
    <row r="50" spans="215:215" x14ac:dyDescent="0.25">
      <c r="HG50" s="561"/>
    </row>
    <row r="53" spans="215:215" x14ac:dyDescent="0.25">
      <c r="HG53" s="561"/>
    </row>
    <row r="56" spans="215:215" x14ac:dyDescent="0.25">
      <c r="HG56" s="561"/>
    </row>
    <row r="59" spans="215:215" x14ac:dyDescent="0.25">
      <c r="HG59" s="561"/>
    </row>
    <row r="62" spans="215:215" x14ac:dyDescent="0.25">
      <c r="HG62" s="561"/>
    </row>
    <row r="65" spans="215:215" x14ac:dyDescent="0.25">
      <c r="HG65" s="561"/>
    </row>
    <row r="68" spans="215:215" x14ac:dyDescent="0.25">
      <c r="HG68" s="561"/>
    </row>
  </sheetData>
  <sheetProtection algorithmName="SHA-512" hashValue="/LXDgfK3/svC6+DD2SAfJpMEyPDnkmVO61mEknaKq5fy8EooLB7kMCkp+fADBYEE6y/FrtWmThcAt2UZdXrOrg==" saltValue="1lUyxt6gmK6pAMnj2RTpHg==" spinCount="100000" sheet="1" objects="1" scenarios="1"/>
  <phoneticPr fontId="40"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5A35-92BC-44D3-87D2-9A902EF8A8BE}">
  <sheetPr>
    <pageSetUpPr fitToPage="1"/>
  </sheetPr>
  <dimension ref="B1:AD92"/>
  <sheetViews>
    <sheetView showGridLines="0" zoomScale="85" zoomScaleNormal="85" workbookViewId="0">
      <pane xSplit="5" ySplit="2" topLeftCell="F3" activePane="bottomRight" state="frozenSplit"/>
      <selection pane="topRight" activeCell="O1" sqref="O1"/>
      <selection pane="bottomLeft" activeCell="A24" sqref="A24"/>
      <selection pane="bottomRight" activeCell="C1" sqref="C1:E1"/>
    </sheetView>
  </sheetViews>
  <sheetFormatPr baseColWidth="10" defaultColWidth="11.42578125" defaultRowHeight="12.75" x14ac:dyDescent="0.2"/>
  <cols>
    <col min="1" max="1" width="2" style="22" customWidth="1"/>
    <col min="2" max="2" width="1.42578125" style="22" customWidth="1"/>
    <col min="3" max="3" width="27" style="22" customWidth="1"/>
    <col min="4" max="4" width="11.28515625" style="22" customWidth="1"/>
    <col min="5" max="5" width="6.140625" style="41" customWidth="1"/>
    <col min="6" max="6" width="12.85546875" style="22" bestFit="1" customWidth="1"/>
    <col min="7" max="7" width="12" style="22" bestFit="1" customWidth="1"/>
    <col min="8" max="9" width="13" style="22" customWidth="1"/>
    <col min="10" max="10" width="12.140625" style="22" customWidth="1"/>
    <col min="11" max="11" width="8.7109375" style="22" hidden="1" customWidth="1"/>
    <col min="12" max="12" width="10.85546875" style="22" customWidth="1"/>
    <col min="13" max="24" width="10.42578125" style="22" customWidth="1"/>
    <col min="25" max="25" width="13" style="22" customWidth="1"/>
    <col min="26" max="26" width="11.85546875" style="22" bestFit="1" customWidth="1"/>
    <col min="27" max="28" width="11.42578125" style="22"/>
    <col min="29" max="29" width="1.42578125" style="22" customWidth="1"/>
    <col min="30" max="16384" width="11.42578125" style="22"/>
  </cols>
  <sheetData>
    <row r="1" spans="2:29" ht="16.5" customHeight="1" x14ac:dyDescent="0.2">
      <c r="C1" s="623" t="s">
        <v>407</v>
      </c>
      <c r="D1" s="623"/>
      <c r="E1" s="623"/>
      <c r="F1" s="621" t="s">
        <v>7</v>
      </c>
      <c r="G1" s="621"/>
      <c r="H1" s="621"/>
      <c r="I1" s="621"/>
      <c r="J1" s="621"/>
    </row>
    <row r="2" spans="2:29" s="30" customFormat="1" ht="39" thickBot="1" x14ac:dyDescent="0.25">
      <c r="F2" s="145" t="s">
        <v>387</v>
      </c>
      <c r="G2" s="145" t="s">
        <v>377</v>
      </c>
      <c r="H2" s="145" t="s">
        <v>353</v>
      </c>
      <c r="I2" s="145" t="s">
        <v>514</v>
      </c>
      <c r="L2" s="146"/>
      <c r="M2" s="622" t="s">
        <v>382</v>
      </c>
      <c r="N2" s="622"/>
      <c r="O2" s="622"/>
      <c r="P2" s="622"/>
      <c r="Q2" s="622"/>
      <c r="R2" s="622"/>
      <c r="S2" s="622"/>
      <c r="T2" s="622"/>
      <c r="U2" s="622"/>
      <c r="V2" s="622"/>
      <c r="W2" s="622"/>
      <c r="X2" s="622"/>
      <c r="Y2" s="145" t="s">
        <v>370</v>
      </c>
      <c r="Z2" s="147" t="s">
        <v>369</v>
      </c>
      <c r="AA2" s="145" t="s">
        <v>548</v>
      </c>
      <c r="AB2" s="145" t="s">
        <v>549</v>
      </c>
    </row>
    <row r="3" spans="2:29" s="30" customFormat="1" ht="7.5" customHeight="1" thickTop="1" thickBot="1" x14ac:dyDescent="0.25">
      <c r="B3" s="65"/>
      <c r="C3" s="148"/>
      <c r="D3" s="148"/>
      <c r="E3" s="149"/>
      <c r="F3" s="150"/>
      <c r="G3" s="150"/>
      <c r="H3" s="150"/>
      <c r="I3" s="150"/>
      <c r="J3" s="148"/>
      <c r="K3" s="148"/>
      <c r="L3" s="148"/>
      <c r="M3" s="151"/>
      <c r="N3" s="151"/>
      <c r="O3" s="151"/>
      <c r="P3" s="151"/>
      <c r="Q3" s="151"/>
      <c r="R3" s="151"/>
      <c r="S3" s="151"/>
      <c r="T3" s="151"/>
      <c r="U3" s="151"/>
      <c r="V3" s="151"/>
      <c r="W3" s="151"/>
      <c r="X3" s="151"/>
      <c r="Y3" s="148"/>
      <c r="Z3" s="148"/>
      <c r="AA3" s="148"/>
      <c r="AB3" s="148"/>
      <c r="AC3" s="66"/>
    </row>
    <row r="4" spans="2:29" x14ac:dyDescent="0.2">
      <c r="B4" s="67"/>
      <c r="C4" s="599" t="s">
        <v>349</v>
      </c>
      <c r="D4" s="43"/>
      <c r="E4" s="45" t="s">
        <v>350</v>
      </c>
      <c r="F4" s="44">
        <f>VLOOKUP($C$1,Daten[],10,0)</f>
        <v>0</v>
      </c>
      <c r="G4" s="125">
        <v>0</v>
      </c>
      <c r="H4" s="125">
        <v>0</v>
      </c>
      <c r="I4" s="44">
        <f>G4+H4</f>
        <v>0</v>
      </c>
      <c r="J4" s="574">
        <f>I4-F4</f>
        <v>0</v>
      </c>
      <c r="K4" s="43"/>
      <c r="L4" s="43"/>
      <c r="M4" s="62"/>
      <c r="N4" s="62"/>
      <c r="O4" s="62"/>
      <c r="P4" s="62"/>
      <c r="Q4" s="62"/>
      <c r="R4" s="62"/>
      <c r="S4" s="62"/>
      <c r="T4" s="62"/>
      <c r="U4" s="62"/>
      <c r="V4" s="62"/>
      <c r="W4" s="62"/>
      <c r="X4" s="62"/>
      <c r="Y4" s="62"/>
      <c r="Z4" s="96">
        <f>I4-F4</f>
        <v>0</v>
      </c>
      <c r="AA4" s="596">
        <f>IF(Z7&lt;0,Z7*-1,0)</f>
        <v>0</v>
      </c>
      <c r="AB4" s="609">
        <f>IF(Z7&gt;0,Z7,0)</f>
        <v>0</v>
      </c>
      <c r="AC4" s="68"/>
    </row>
    <row r="5" spans="2:29" x14ac:dyDescent="0.2">
      <c r="B5" s="67"/>
      <c r="C5" s="600"/>
      <c r="D5" s="59"/>
      <c r="E5" s="60" t="s">
        <v>375</v>
      </c>
      <c r="F5" s="42"/>
      <c r="G5" s="126">
        <v>0</v>
      </c>
      <c r="H5" s="126">
        <v>0</v>
      </c>
      <c r="I5" s="37">
        <f t="shared" ref="I5:I7" si="0">G5+H5</f>
        <v>0</v>
      </c>
      <c r="J5" s="59"/>
      <c r="K5" s="59"/>
      <c r="L5" s="97" t="s">
        <v>512</v>
      </c>
      <c r="M5" s="97" t="s">
        <v>348</v>
      </c>
      <c r="N5" s="97" t="s">
        <v>347</v>
      </c>
      <c r="O5" s="97" t="s">
        <v>366</v>
      </c>
      <c r="P5" s="97" t="s">
        <v>367</v>
      </c>
      <c r="Q5" s="97" t="s">
        <v>343</v>
      </c>
      <c r="R5" s="97" t="s">
        <v>345</v>
      </c>
      <c r="S5" s="97" t="s">
        <v>344</v>
      </c>
      <c r="T5" s="97" t="s">
        <v>346</v>
      </c>
      <c r="U5" s="582" t="s">
        <v>669</v>
      </c>
      <c r="V5" s="582" t="s">
        <v>935</v>
      </c>
      <c r="W5" s="97" t="s">
        <v>368</v>
      </c>
      <c r="X5" s="97" t="s">
        <v>381</v>
      </c>
      <c r="Y5" s="59"/>
      <c r="Z5" s="59"/>
      <c r="AA5" s="597"/>
      <c r="AB5" s="610"/>
      <c r="AC5" s="68"/>
    </row>
    <row r="6" spans="2:29" x14ac:dyDescent="0.2">
      <c r="B6" s="67"/>
      <c r="C6" s="600"/>
      <c r="D6" s="59"/>
      <c r="E6" s="60" t="s">
        <v>376</v>
      </c>
      <c r="F6" s="42"/>
      <c r="G6" s="126">
        <v>0</v>
      </c>
      <c r="H6" s="126">
        <v>0</v>
      </c>
      <c r="I6" s="37">
        <f t="shared" si="0"/>
        <v>0</v>
      </c>
      <c r="J6" s="59"/>
      <c r="K6" s="60" t="s">
        <v>511</v>
      </c>
      <c r="L6" s="139">
        <f>MAX(0,K7)</f>
        <v>0</v>
      </c>
      <c r="M6" s="42"/>
      <c r="N6" s="42"/>
      <c r="O6" s="42"/>
      <c r="P6" s="131">
        <v>0</v>
      </c>
      <c r="Q6" s="42"/>
      <c r="R6" s="131">
        <v>0</v>
      </c>
      <c r="S6" s="42"/>
      <c r="T6" s="131">
        <v>0</v>
      </c>
      <c r="U6" s="131">
        <v>0</v>
      </c>
      <c r="V6" s="131">
        <v>0</v>
      </c>
      <c r="W6" s="42"/>
      <c r="X6" s="42"/>
      <c r="Y6" s="42"/>
      <c r="Z6" s="135"/>
      <c r="AA6" s="597"/>
      <c r="AB6" s="610"/>
      <c r="AC6" s="68"/>
    </row>
    <row r="7" spans="2:29" ht="13.5" thickBot="1" x14ac:dyDescent="0.25">
      <c r="B7" s="67"/>
      <c r="C7" s="601"/>
      <c r="D7" s="46"/>
      <c r="E7" s="49" t="s">
        <v>114</v>
      </c>
      <c r="F7" s="47">
        <f>VLOOKUP($C$1,Daten[],12,0)</f>
        <v>0</v>
      </c>
      <c r="G7" s="127">
        <v>0</v>
      </c>
      <c r="H7" s="127">
        <v>0</v>
      </c>
      <c r="I7" s="141">
        <f t="shared" si="0"/>
        <v>0</v>
      </c>
      <c r="J7" s="137"/>
      <c r="K7" s="138">
        <f>F7-I7</f>
        <v>0</v>
      </c>
      <c r="L7" s="137"/>
      <c r="M7" s="48"/>
      <c r="N7" s="48"/>
      <c r="O7" s="47">
        <f>N11</f>
        <v>0</v>
      </c>
      <c r="P7" s="47">
        <f>P6*-1</f>
        <v>0</v>
      </c>
      <c r="Q7" s="47">
        <f>N21</f>
        <v>0</v>
      </c>
      <c r="R7" s="47">
        <f>R6*-1</f>
        <v>0</v>
      </c>
      <c r="S7" s="47">
        <f>N26</f>
        <v>0</v>
      </c>
      <c r="T7" s="47">
        <f>T6*-1</f>
        <v>0</v>
      </c>
      <c r="U7" s="47">
        <f>U6*-1</f>
        <v>0</v>
      </c>
      <c r="V7" s="47">
        <f>V6*-1</f>
        <v>0</v>
      </c>
      <c r="W7" s="47">
        <f>N41</f>
        <v>0</v>
      </c>
      <c r="X7" s="47">
        <f>N53+N57+N61+N65+N69+N73</f>
        <v>0</v>
      </c>
      <c r="Y7" s="141">
        <f>F7+M7+N7+O7+P7+Q7+R7+S7+T7+U7+V7+W7+X7</f>
        <v>0</v>
      </c>
      <c r="Z7" s="142">
        <f>Y7-I7</f>
        <v>0</v>
      </c>
      <c r="AA7" s="598"/>
      <c r="AB7" s="611"/>
      <c r="AC7" s="68"/>
    </row>
    <row r="8" spans="2:29" ht="13.5" thickBot="1" x14ac:dyDescent="0.25">
      <c r="B8" s="67"/>
      <c r="C8" s="59"/>
      <c r="D8" s="59"/>
      <c r="E8" s="60"/>
      <c r="F8" s="59"/>
      <c r="G8" s="59"/>
      <c r="H8" s="59"/>
      <c r="I8" s="59"/>
      <c r="J8" s="59"/>
      <c r="K8" s="59"/>
      <c r="L8" s="59"/>
      <c r="M8" s="59"/>
      <c r="N8" s="59"/>
      <c r="O8" s="59"/>
      <c r="P8" s="59"/>
      <c r="Q8" s="59"/>
      <c r="R8" s="59"/>
      <c r="S8" s="59"/>
      <c r="T8" s="59"/>
      <c r="U8" s="59"/>
      <c r="V8" s="59"/>
      <c r="W8" s="59"/>
      <c r="X8" s="59"/>
      <c r="Y8" s="59"/>
      <c r="Z8" s="59"/>
      <c r="AA8" s="59"/>
      <c r="AB8" s="59"/>
      <c r="AC8" s="68"/>
    </row>
    <row r="9" spans="2:29" x14ac:dyDescent="0.2">
      <c r="B9" s="67"/>
      <c r="C9" s="599" t="s">
        <v>351</v>
      </c>
      <c r="D9" s="43"/>
      <c r="E9" s="45" t="s">
        <v>350</v>
      </c>
      <c r="F9" s="44">
        <f>VLOOKUP($C$1,Daten[],13,0)</f>
        <v>0</v>
      </c>
      <c r="G9" s="125">
        <v>0</v>
      </c>
      <c r="H9" s="125">
        <v>0</v>
      </c>
      <c r="I9" s="44">
        <f>G9+H9</f>
        <v>0</v>
      </c>
      <c r="J9" s="574">
        <f>I9-F9</f>
        <v>0</v>
      </c>
      <c r="K9" s="43"/>
      <c r="L9" s="43"/>
      <c r="M9" s="43"/>
      <c r="N9" s="43"/>
      <c r="O9" s="43"/>
      <c r="P9" s="43"/>
      <c r="Q9" s="43"/>
      <c r="R9" s="43"/>
      <c r="S9" s="43"/>
      <c r="T9" s="43"/>
      <c r="U9" s="43"/>
      <c r="V9" s="43"/>
      <c r="W9" s="43"/>
      <c r="X9" s="43"/>
      <c r="Y9" s="43"/>
      <c r="Z9" s="96">
        <f>I9-F9</f>
        <v>0</v>
      </c>
      <c r="AA9" s="596">
        <f>IF(Z12&lt;0,Z12*-1,0)</f>
        <v>0</v>
      </c>
      <c r="AB9" s="609">
        <f>IF(Z12&gt;0,Z12,0)</f>
        <v>0</v>
      </c>
      <c r="AC9" s="68"/>
    </row>
    <row r="10" spans="2:29" x14ac:dyDescent="0.2">
      <c r="B10" s="67"/>
      <c r="C10" s="600"/>
      <c r="D10" s="59"/>
      <c r="E10" s="60" t="s">
        <v>375</v>
      </c>
      <c r="F10" s="42"/>
      <c r="G10" s="126">
        <v>0</v>
      </c>
      <c r="H10" s="126">
        <v>0</v>
      </c>
      <c r="I10" s="37">
        <f t="shared" ref="I10" si="1">G10+H10</f>
        <v>0</v>
      </c>
      <c r="J10" s="59"/>
      <c r="K10" s="59"/>
      <c r="L10" s="97" t="s">
        <v>512</v>
      </c>
      <c r="M10" s="97" t="s">
        <v>348</v>
      </c>
      <c r="N10" s="97" t="s">
        <v>347</v>
      </c>
      <c r="O10" s="97" t="s">
        <v>366</v>
      </c>
      <c r="P10" s="97" t="s">
        <v>367</v>
      </c>
      <c r="Q10" s="97" t="s">
        <v>343</v>
      </c>
      <c r="R10" s="97" t="s">
        <v>345</v>
      </c>
      <c r="S10" s="97" t="s">
        <v>344</v>
      </c>
      <c r="T10" s="97" t="s">
        <v>346</v>
      </c>
      <c r="U10" s="97" t="s">
        <v>669</v>
      </c>
      <c r="V10" s="97" t="s">
        <v>935</v>
      </c>
      <c r="W10" s="97" t="s">
        <v>368</v>
      </c>
      <c r="X10" s="97" t="s">
        <v>381</v>
      </c>
      <c r="Y10" s="59"/>
      <c r="Z10" s="59"/>
      <c r="AA10" s="597"/>
      <c r="AB10" s="610"/>
      <c r="AC10" s="68"/>
    </row>
    <row r="11" spans="2:29" x14ac:dyDescent="0.2">
      <c r="B11" s="67"/>
      <c r="C11" s="600"/>
      <c r="D11" s="59"/>
      <c r="E11" s="60" t="s">
        <v>376</v>
      </c>
      <c r="F11" s="42"/>
      <c r="G11" s="126">
        <v>0</v>
      </c>
      <c r="H11" s="126">
        <v>0</v>
      </c>
      <c r="I11" s="37">
        <f t="shared" ref="I11:I12" si="2">G11+H11</f>
        <v>0</v>
      </c>
      <c r="J11" s="59"/>
      <c r="K11" s="60" t="s">
        <v>511</v>
      </c>
      <c r="L11" s="139">
        <f>MAX(0,K12)</f>
        <v>0</v>
      </c>
      <c r="M11" s="42"/>
      <c r="N11" s="131">
        <v>0</v>
      </c>
      <c r="O11" s="42"/>
      <c r="P11" s="42"/>
      <c r="Q11" s="42"/>
      <c r="R11" s="131">
        <v>0</v>
      </c>
      <c r="S11" s="42"/>
      <c r="T11" s="131">
        <v>0</v>
      </c>
      <c r="U11" s="131">
        <v>0</v>
      </c>
      <c r="V11" s="131">
        <v>0</v>
      </c>
      <c r="W11" s="42"/>
      <c r="X11" s="42"/>
      <c r="Y11" s="42"/>
      <c r="Z11" s="42"/>
      <c r="AA11" s="597"/>
      <c r="AB11" s="610"/>
      <c r="AC11" s="68"/>
    </row>
    <row r="12" spans="2:29" ht="13.5" thickBot="1" x14ac:dyDescent="0.25">
      <c r="B12" s="67"/>
      <c r="C12" s="601"/>
      <c r="D12" s="46"/>
      <c r="E12" s="49" t="s">
        <v>114</v>
      </c>
      <c r="F12" s="47">
        <f>VLOOKUP($C$1,Daten[],15,0)</f>
        <v>0</v>
      </c>
      <c r="G12" s="127">
        <v>0</v>
      </c>
      <c r="H12" s="127">
        <v>0</v>
      </c>
      <c r="I12" s="141">
        <f t="shared" si="2"/>
        <v>0</v>
      </c>
      <c r="J12" s="137"/>
      <c r="K12" s="138">
        <f>F12-I12</f>
        <v>0</v>
      </c>
      <c r="L12" s="137"/>
      <c r="M12" s="47">
        <f>P6</f>
        <v>0</v>
      </c>
      <c r="N12" s="47">
        <f>N11*-1</f>
        <v>0</v>
      </c>
      <c r="O12" s="48"/>
      <c r="P12" s="48"/>
      <c r="Q12" s="47">
        <f>P21</f>
        <v>0</v>
      </c>
      <c r="R12" s="47">
        <f>R11*-1</f>
        <v>0</v>
      </c>
      <c r="S12" s="47">
        <f>P26</f>
        <v>0</v>
      </c>
      <c r="T12" s="47">
        <f>T11*-1</f>
        <v>0</v>
      </c>
      <c r="U12" s="47">
        <f>U11*-1</f>
        <v>0</v>
      </c>
      <c r="V12" s="47">
        <f>V11*-1</f>
        <v>0</v>
      </c>
      <c r="W12" s="47">
        <f>P41</f>
        <v>0</v>
      </c>
      <c r="X12" s="47">
        <f>P53+P57+P61+P65+P69+P73</f>
        <v>0</v>
      </c>
      <c r="Y12" s="141">
        <f>F12+M12+N12+O12+P12+Q12+R12+S12+T12+U12+V12+W12+X12</f>
        <v>0</v>
      </c>
      <c r="Z12" s="142">
        <f>Y12-I12</f>
        <v>0</v>
      </c>
      <c r="AA12" s="598"/>
      <c r="AB12" s="611"/>
      <c r="AC12" s="68"/>
    </row>
    <row r="13" spans="2:29" ht="13.5" thickBot="1" x14ac:dyDescent="0.25">
      <c r="B13" s="67"/>
      <c r="C13" s="59"/>
      <c r="D13" s="59"/>
      <c r="E13" s="60"/>
      <c r="F13" s="59"/>
      <c r="G13" s="59"/>
      <c r="H13" s="59"/>
      <c r="I13" s="59"/>
      <c r="J13" s="59"/>
      <c r="K13" s="59"/>
      <c r="L13" s="59"/>
      <c r="M13" s="59"/>
      <c r="N13" s="59"/>
      <c r="O13" s="59"/>
      <c r="P13" s="59"/>
      <c r="Q13" s="59"/>
      <c r="R13" s="59"/>
      <c r="S13" s="59"/>
      <c r="T13" s="59"/>
      <c r="U13" s="59"/>
      <c r="V13" s="59"/>
      <c r="W13" s="59"/>
      <c r="X13" s="59"/>
      <c r="Y13" s="59"/>
      <c r="Z13" s="69"/>
      <c r="AA13" s="59"/>
      <c r="AB13" s="59"/>
      <c r="AC13" s="70"/>
    </row>
    <row r="14" spans="2:29" x14ac:dyDescent="0.2">
      <c r="B14" s="67"/>
      <c r="C14" s="625" t="s">
        <v>371</v>
      </c>
      <c r="D14" s="240"/>
      <c r="E14" s="241" t="s">
        <v>350</v>
      </c>
      <c r="F14" s="242">
        <f>F4+F9</f>
        <v>0</v>
      </c>
      <c r="G14" s="242">
        <f>G4+G9</f>
        <v>0</v>
      </c>
      <c r="H14" s="242">
        <f>H4+H9</f>
        <v>0</v>
      </c>
      <c r="I14" s="242">
        <f>I4+I9</f>
        <v>0</v>
      </c>
      <c r="J14" s="240"/>
      <c r="K14" s="240"/>
      <c r="L14" s="240"/>
      <c r="M14" s="243"/>
      <c r="N14" s="243"/>
      <c r="O14" s="243"/>
      <c r="P14" s="244" t="s">
        <v>372</v>
      </c>
      <c r="Q14" s="245"/>
      <c r="R14" s="245"/>
      <c r="S14" s="245"/>
      <c r="T14" s="244" t="s">
        <v>373</v>
      </c>
      <c r="U14" s="244" t="s">
        <v>669</v>
      </c>
      <c r="V14" s="244" t="s">
        <v>935</v>
      </c>
      <c r="W14" s="245"/>
      <c r="X14" s="246"/>
      <c r="Y14" s="243"/>
      <c r="Z14" s="247">
        <f>I14-F14</f>
        <v>0</v>
      </c>
      <c r="AA14" s="605">
        <f>IF(Z15&lt;0,Z15*-1,0)</f>
        <v>0</v>
      </c>
      <c r="AB14" s="607">
        <f>IF(Z15&gt;0,Z15,0)</f>
        <v>0</v>
      </c>
      <c r="AC14" s="68"/>
    </row>
    <row r="15" spans="2:29" ht="13.5" thickBot="1" x14ac:dyDescent="0.25">
      <c r="B15" s="67"/>
      <c r="C15" s="626"/>
      <c r="D15" s="248"/>
      <c r="E15" s="249" t="s">
        <v>114</v>
      </c>
      <c r="F15" s="250">
        <f>F7+F12</f>
        <v>0</v>
      </c>
      <c r="G15" s="250">
        <f t="shared" ref="G15:I15" si="3">G7+G12</f>
        <v>0</v>
      </c>
      <c r="H15" s="250">
        <f t="shared" si="3"/>
        <v>0</v>
      </c>
      <c r="I15" s="250">
        <f t="shared" si="3"/>
        <v>0</v>
      </c>
      <c r="J15" s="248"/>
      <c r="K15" s="248"/>
      <c r="L15" s="248"/>
      <c r="M15" s="251"/>
      <c r="N15" s="252"/>
      <c r="O15" s="252"/>
      <c r="P15" s="250">
        <f>N21+P21+N26+P26+N41+P41+N53+P53+N57+P57+N61+P61+N65+P65+N69+P69+N73+P73</f>
        <v>0</v>
      </c>
      <c r="Q15" s="251"/>
      <c r="R15" s="252"/>
      <c r="S15" s="253" t="str">
        <f>IF((T15*-1)&gt;(F15*0.1),"Umschichtung maximal 10% ("&amp;TEXT(F15*0.1,"#.##0,00")&amp;")","")</f>
        <v/>
      </c>
      <c r="T15" s="250">
        <f>R7+T7+R12+T12</f>
        <v>0</v>
      </c>
      <c r="U15" s="250">
        <f>U7+U12</f>
        <v>0</v>
      </c>
      <c r="V15" s="250">
        <f>V7+V12</f>
        <v>0</v>
      </c>
      <c r="W15" s="251"/>
      <c r="X15" s="251"/>
      <c r="Y15" s="250">
        <f>F15+P15+T15+U15+V15</f>
        <v>0</v>
      </c>
      <c r="Z15" s="250">
        <f>Y15-I15</f>
        <v>0</v>
      </c>
      <c r="AA15" s="606"/>
      <c r="AB15" s="608"/>
      <c r="AC15" s="68"/>
    </row>
    <row r="16" spans="2:29" ht="7.5" customHeight="1" thickBot="1" x14ac:dyDescent="0.25">
      <c r="B16" s="71"/>
      <c r="C16" s="72"/>
      <c r="D16" s="72"/>
      <c r="E16" s="73"/>
      <c r="F16" s="72"/>
      <c r="G16" s="72"/>
      <c r="H16" s="72"/>
      <c r="I16" s="72"/>
      <c r="J16" s="72"/>
      <c r="K16" s="72"/>
      <c r="L16" s="72"/>
      <c r="M16" s="72"/>
      <c r="N16" s="72"/>
      <c r="O16" s="72"/>
      <c r="P16" s="72"/>
      <c r="Q16" s="72"/>
      <c r="R16" s="72"/>
      <c r="S16" s="72"/>
      <c r="T16" s="72"/>
      <c r="U16" s="72"/>
      <c r="V16" s="72"/>
      <c r="W16" s="72"/>
      <c r="X16" s="72"/>
      <c r="Y16" s="72"/>
      <c r="Z16" s="74"/>
      <c r="AA16" s="72"/>
      <c r="AB16" s="72"/>
      <c r="AC16" s="75"/>
    </row>
    <row r="17" spans="2:30" ht="14.25" thickTop="1" thickBot="1" x14ac:dyDescent="0.25">
      <c r="B17" s="59"/>
      <c r="C17" s="59"/>
      <c r="D17" s="59"/>
      <c r="E17" s="60"/>
      <c r="F17" s="59"/>
      <c r="G17" s="59"/>
      <c r="H17" s="59"/>
      <c r="I17" s="59"/>
      <c r="J17" s="59"/>
      <c r="K17" s="59"/>
      <c r="L17" s="59"/>
      <c r="M17" s="59"/>
      <c r="N17" s="59"/>
      <c r="O17" s="59"/>
      <c r="P17" s="59"/>
      <c r="Q17" s="59"/>
      <c r="R17" s="59"/>
      <c r="S17" s="59"/>
      <c r="T17" s="59"/>
      <c r="U17" s="59"/>
      <c r="V17" s="59"/>
      <c r="W17" s="59"/>
      <c r="X17" s="59"/>
      <c r="Y17" s="59"/>
      <c r="Z17" s="69"/>
      <c r="AA17" s="59"/>
      <c r="AB17" s="59"/>
      <c r="AC17" s="59"/>
    </row>
    <row r="18" spans="2:30" ht="7.5" customHeight="1" thickTop="1" thickBot="1" x14ac:dyDescent="0.25">
      <c r="B18" s="76"/>
      <c r="C18" s="77"/>
      <c r="D18" s="77"/>
      <c r="E18" s="78"/>
      <c r="F18" s="77"/>
      <c r="G18" s="77"/>
      <c r="H18" s="77"/>
      <c r="I18" s="77"/>
      <c r="J18" s="77"/>
      <c r="K18" s="77"/>
      <c r="L18" s="77"/>
      <c r="M18" s="77"/>
      <c r="N18" s="77"/>
      <c r="O18" s="77"/>
      <c r="P18" s="77"/>
      <c r="Q18" s="77"/>
      <c r="R18" s="77"/>
      <c r="S18" s="77"/>
      <c r="T18" s="77"/>
      <c r="U18" s="77"/>
      <c r="V18" s="77"/>
      <c r="W18" s="77"/>
      <c r="X18" s="77"/>
      <c r="Y18" s="77"/>
      <c r="Z18" s="77"/>
      <c r="AA18" s="77"/>
      <c r="AB18" s="77"/>
      <c r="AC18" s="79"/>
    </row>
    <row r="19" spans="2:30" x14ac:dyDescent="0.2">
      <c r="B19" s="67"/>
      <c r="C19" s="599" t="s">
        <v>3</v>
      </c>
      <c r="D19" s="43"/>
      <c r="E19" s="45" t="s">
        <v>350</v>
      </c>
      <c r="F19" s="44">
        <f>VLOOKUP($C$1,Daten[],16,0)</f>
        <v>0</v>
      </c>
      <c r="G19" s="125">
        <v>0</v>
      </c>
      <c r="H19" s="125">
        <v>0</v>
      </c>
      <c r="I19" s="44">
        <f>G19+H19</f>
        <v>0</v>
      </c>
      <c r="J19" s="574">
        <f>I19-F19</f>
        <v>0</v>
      </c>
      <c r="K19" s="43"/>
      <c r="L19" s="43"/>
      <c r="M19" s="43"/>
      <c r="N19" s="43"/>
      <c r="O19" s="43"/>
      <c r="P19" s="43"/>
      <c r="Q19" s="43"/>
      <c r="R19" s="43"/>
      <c r="S19" s="43"/>
      <c r="T19" s="43"/>
      <c r="U19" s="43"/>
      <c r="V19" s="43"/>
      <c r="W19" s="43"/>
      <c r="X19" s="43"/>
      <c r="Y19" s="43"/>
      <c r="Z19" s="96">
        <f>I19-F19</f>
        <v>0</v>
      </c>
      <c r="AA19" s="596">
        <f>IF(Z22&lt;0,Z22*-1,0)</f>
        <v>0</v>
      </c>
      <c r="AB19" s="609">
        <f>IF(Z22&gt;0,Z22,0)</f>
        <v>0</v>
      </c>
      <c r="AC19" s="68"/>
    </row>
    <row r="20" spans="2:30" x14ac:dyDescent="0.2">
      <c r="B20" s="67"/>
      <c r="C20" s="600"/>
      <c r="D20" s="59"/>
      <c r="E20" s="60" t="s">
        <v>375</v>
      </c>
      <c r="F20" s="42"/>
      <c r="G20" s="126">
        <v>0</v>
      </c>
      <c r="H20" s="126">
        <v>0</v>
      </c>
      <c r="I20" s="37">
        <f t="shared" ref="I20" si="4">G20+H20</f>
        <v>0</v>
      </c>
      <c r="J20" s="59"/>
      <c r="K20" s="59"/>
      <c r="L20" s="97" t="s">
        <v>512</v>
      </c>
      <c r="M20" s="97" t="s">
        <v>348</v>
      </c>
      <c r="N20" s="97" t="s">
        <v>347</v>
      </c>
      <c r="O20" s="97" t="s">
        <v>366</v>
      </c>
      <c r="P20" s="97" t="s">
        <v>367</v>
      </c>
      <c r="Q20" s="97" t="s">
        <v>343</v>
      </c>
      <c r="R20" s="97" t="s">
        <v>345</v>
      </c>
      <c r="S20" s="97" t="s">
        <v>344</v>
      </c>
      <c r="T20" s="97" t="s">
        <v>346</v>
      </c>
      <c r="U20" s="97" t="s">
        <v>669</v>
      </c>
      <c r="V20" s="97" t="s">
        <v>935</v>
      </c>
      <c r="W20" s="97" t="s">
        <v>368</v>
      </c>
      <c r="X20" s="97" t="s">
        <v>381</v>
      </c>
      <c r="Y20" s="59"/>
      <c r="Z20" s="59"/>
      <c r="AA20" s="597"/>
      <c r="AB20" s="610"/>
      <c r="AC20" s="68"/>
    </row>
    <row r="21" spans="2:30" x14ac:dyDescent="0.2">
      <c r="B21" s="67"/>
      <c r="C21" s="600"/>
      <c r="D21" s="59"/>
      <c r="E21" s="60" t="s">
        <v>376</v>
      </c>
      <c r="F21" s="42"/>
      <c r="G21" s="126">
        <v>0</v>
      </c>
      <c r="H21" s="126">
        <v>0</v>
      </c>
      <c r="I21" s="37">
        <f t="shared" ref="I21:I22" si="5">G21+H21</f>
        <v>0</v>
      </c>
      <c r="J21" s="59"/>
      <c r="K21" s="60" t="s">
        <v>511</v>
      </c>
      <c r="L21" s="139">
        <f>MAX(0,K22)</f>
        <v>0</v>
      </c>
      <c r="M21" s="42"/>
      <c r="N21" s="131">
        <v>0</v>
      </c>
      <c r="O21" s="42"/>
      <c r="P21" s="131">
        <v>0</v>
      </c>
      <c r="Q21" s="42"/>
      <c r="R21" s="42"/>
      <c r="S21" s="42"/>
      <c r="T21" s="131">
        <v>0</v>
      </c>
      <c r="U21" s="131">
        <v>0</v>
      </c>
      <c r="V21" s="131">
        <v>0</v>
      </c>
      <c r="W21" s="42"/>
      <c r="X21" s="42"/>
      <c r="Y21" s="42"/>
      <c r="Z21" s="42"/>
      <c r="AA21" s="597"/>
      <c r="AB21" s="610"/>
      <c r="AC21" s="68"/>
    </row>
    <row r="22" spans="2:30" ht="13.5" thickBot="1" x14ac:dyDescent="0.25">
      <c r="B22" s="67"/>
      <c r="C22" s="601"/>
      <c r="D22" s="46"/>
      <c r="E22" s="49" t="s">
        <v>114</v>
      </c>
      <c r="F22" s="47">
        <f>VLOOKUP($C$1,Daten[],18,0)</f>
        <v>0</v>
      </c>
      <c r="G22" s="127">
        <v>0</v>
      </c>
      <c r="H22" s="127">
        <v>0</v>
      </c>
      <c r="I22" s="141">
        <f t="shared" si="5"/>
        <v>0</v>
      </c>
      <c r="J22" s="137"/>
      <c r="K22" s="138">
        <f>F22-I22</f>
        <v>0</v>
      </c>
      <c r="L22" s="137">
        <f>N21+P21+T21+U21</f>
        <v>0</v>
      </c>
      <c r="M22" s="47">
        <f>R6</f>
        <v>0</v>
      </c>
      <c r="N22" s="47">
        <f>N21*-1</f>
        <v>0</v>
      </c>
      <c r="O22" s="47">
        <f>R11</f>
        <v>0</v>
      </c>
      <c r="P22" s="47">
        <f>P21*-1</f>
        <v>0</v>
      </c>
      <c r="Q22" s="48"/>
      <c r="R22" s="48"/>
      <c r="S22" s="47">
        <f>R26</f>
        <v>0</v>
      </c>
      <c r="T22" s="47">
        <f>T21*-1</f>
        <v>0</v>
      </c>
      <c r="U22" s="47">
        <f>U21*-1</f>
        <v>0</v>
      </c>
      <c r="V22" s="47">
        <f>V21*-1</f>
        <v>0</v>
      </c>
      <c r="W22" s="47">
        <f>R41</f>
        <v>0</v>
      </c>
      <c r="X22" s="47">
        <f>R53+R57+R61+R65+R69+R73</f>
        <v>0</v>
      </c>
      <c r="Y22" s="141">
        <f>F22+M22+N22+O22+P22+Q22+R22+S22+T22+U22+V22+W22+X22</f>
        <v>0</v>
      </c>
      <c r="Z22" s="142">
        <f>Y22-I22</f>
        <v>0</v>
      </c>
      <c r="AA22" s="598"/>
      <c r="AB22" s="611"/>
      <c r="AC22" s="68"/>
    </row>
    <row r="23" spans="2:30" ht="13.5" thickBot="1" x14ac:dyDescent="0.25">
      <c r="B23" s="67"/>
      <c r="C23" s="59"/>
      <c r="D23" s="59"/>
      <c r="E23" s="60"/>
      <c r="F23" s="59"/>
      <c r="G23" s="59"/>
      <c r="H23" s="59"/>
      <c r="I23" s="59"/>
      <c r="J23" s="59"/>
      <c r="K23" s="59"/>
      <c r="L23" s="59"/>
      <c r="M23" s="59"/>
      <c r="N23" s="59"/>
      <c r="O23" s="59"/>
      <c r="P23" s="59"/>
      <c r="Q23" s="59"/>
      <c r="R23" s="59"/>
      <c r="S23" s="59"/>
      <c r="T23" s="59"/>
      <c r="U23" s="59"/>
      <c r="V23" s="59"/>
      <c r="W23" s="59"/>
      <c r="X23" s="59"/>
      <c r="Y23" s="59"/>
      <c r="Z23" s="59"/>
      <c r="AA23" s="59"/>
      <c r="AB23" s="59"/>
      <c r="AC23" s="68"/>
    </row>
    <row r="24" spans="2:30" x14ac:dyDescent="0.2">
      <c r="B24" s="67"/>
      <c r="C24" s="599" t="s">
        <v>4</v>
      </c>
      <c r="D24" s="43"/>
      <c r="E24" s="45" t="s">
        <v>350</v>
      </c>
      <c r="F24" s="44">
        <f>VLOOKUP($C$1,Daten[],19,0)</f>
        <v>0</v>
      </c>
      <c r="G24" s="125">
        <v>0</v>
      </c>
      <c r="H24" s="125">
        <v>0</v>
      </c>
      <c r="I24" s="44">
        <f>G24+H24</f>
        <v>0</v>
      </c>
      <c r="J24" s="574">
        <f>I24-F24</f>
        <v>0</v>
      </c>
      <c r="K24" s="43"/>
      <c r="L24" s="43"/>
      <c r="M24" s="43"/>
      <c r="N24" s="43"/>
      <c r="O24" s="43"/>
      <c r="P24" s="43"/>
      <c r="Q24" s="43"/>
      <c r="R24" s="43"/>
      <c r="S24" s="43"/>
      <c r="T24" s="43"/>
      <c r="U24" s="43"/>
      <c r="V24" s="43"/>
      <c r="W24" s="43"/>
      <c r="X24" s="43"/>
      <c r="Y24" s="43"/>
      <c r="Z24" s="96">
        <f>I24-F24</f>
        <v>0</v>
      </c>
      <c r="AA24" s="596">
        <f>IF(Z27&lt;0,Z27*-1,0)</f>
        <v>0</v>
      </c>
      <c r="AB24" s="609">
        <f>IF(Z27&gt;0,Z27,0)</f>
        <v>0</v>
      </c>
      <c r="AC24" s="68"/>
    </row>
    <row r="25" spans="2:30" x14ac:dyDescent="0.2">
      <c r="B25" s="67"/>
      <c r="C25" s="600"/>
      <c r="D25" s="59"/>
      <c r="E25" s="60" t="s">
        <v>375</v>
      </c>
      <c r="F25" s="42"/>
      <c r="G25" s="126">
        <v>0</v>
      </c>
      <c r="H25" s="126">
        <v>0</v>
      </c>
      <c r="I25" s="37">
        <f t="shared" ref="I25" si="6">G25+H25</f>
        <v>0</v>
      </c>
      <c r="J25" s="59"/>
      <c r="K25" s="59"/>
      <c r="L25" s="97" t="s">
        <v>512</v>
      </c>
      <c r="M25" s="97" t="s">
        <v>348</v>
      </c>
      <c r="N25" s="97" t="s">
        <v>347</v>
      </c>
      <c r="O25" s="97" t="s">
        <v>366</v>
      </c>
      <c r="P25" s="97" t="s">
        <v>367</v>
      </c>
      <c r="Q25" s="97" t="s">
        <v>343</v>
      </c>
      <c r="R25" s="97" t="s">
        <v>345</v>
      </c>
      <c r="S25" s="97" t="s">
        <v>344</v>
      </c>
      <c r="T25" s="97" t="s">
        <v>346</v>
      </c>
      <c r="U25" s="97" t="s">
        <v>669</v>
      </c>
      <c r="V25" s="97" t="s">
        <v>935</v>
      </c>
      <c r="W25" s="97" t="s">
        <v>368</v>
      </c>
      <c r="X25" s="97" t="s">
        <v>381</v>
      </c>
      <c r="Y25" s="59"/>
      <c r="Z25" s="59"/>
      <c r="AA25" s="597"/>
      <c r="AB25" s="610"/>
      <c r="AC25" s="68"/>
    </row>
    <row r="26" spans="2:30" x14ac:dyDescent="0.2">
      <c r="B26" s="67"/>
      <c r="C26" s="600"/>
      <c r="D26" s="59"/>
      <c r="E26" s="60" t="s">
        <v>376</v>
      </c>
      <c r="F26" s="42"/>
      <c r="G26" s="126">
        <v>0</v>
      </c>
      <c r="H26" s="126">
        <v>0</v>
      </c>
      <c r="I26" s="37">
        <f t="shared" ref="I26:I27" si="7">G26+H26</f>
        <v>0</v>
      </c>
      <c r="J26" s="59"/>
      <c r="K26" s="60" t="s">
        <v>511</v>
      </c>
      <c r="L26" s="139">
        <f>MAX(0,K27)</f>
        <v>0</v>
      </c>
      <c r="M26" s="42"/>
      <c r="N26" s="131">
        <v>0</v>
      </c>
      <c r="O26" s="42"/>
      <c r="P26" s="131">
        <v>0</v>
      </c>
      <c r="Q26" s="42"/>
      <c r="R26" s="131">
        <v>0</v>
      </c>
      <c r="S26" s="42"/>
      <c r="T26" s="42"/>
      <c r="U26" s="131">
        <v>0</v>
      </c>
      <c r="V26" s="131">
        <v>0</v>
      </c>
      <c r="W26" s="42"/>
      <c r="X26" s="42"/>
      <c r="Y26" s="42"/>
      <c r="Z26" s="42"/>
      <c r="AA26" s="597"/>
      <c r="AB26" s="610"/>
      <c r="AC26" s="68"/>
    </row>
    <row r="27" spans="2:30" s="39" customFormat="1" ht="13.5" thickBot="1" x14ac:dyDescent="0.25">
      <c r="B27" s="80"/>
      <c r="C27" s="601"/>
      <c r="D27" s="46"/>
      <c r="E27" s="49" t="s">
        <v>114</v>
      </c>
      <c r="F27" s="47">
        <f>VLOOKUP($C$1,Daten[],21,0)</f>
        <v>0</v>
      </c>
      <c r="G27" s="127">
        <v>0</v>
      </c>
      <c r="H27" s="127">
        <v>0</v>
      </c>
      <c r="I27" s="141">
        <f t="shared" si="7"/>
        <v>0</v>
      </c>
      <c r="J27" s="137"/>
      <c r="K27" s="138">
        <f>F27-I27</f>
        <v>0</v>
      </c>
      <c r="L27" s="137">
        <f>N26+P26+R26+U26</f>
        <v>0</v>
      </c>
      <c r="M27" s="47">
        <f>T6</f>
        <v>0</v>
      </c>
      <c r="N27" s="47">
        <f>N26*-1</f>
        <v>0</v>
      </c>
      <c r="O27" s="47">
        <f>T11</f>
        <v>0</v>
      </c>
      <c r="P27" s="47">
        <f>P26*-1</f>
        <v>0</v>
      </c>
      <c r="Q27" s="47">
        <f>T21</f>
        <v>0</v>
      </c>
      <c r="R27" s="47">
        <f>R26*-1</f>
        <v>0</v>
      </c>
      <c r="S27" s="48"/>
      <c r="T27" s="48"/>
      <c r="U27" s="47">
        <f>U26*-1</f>
        <v>0</v>
      </c>
      <c r="V27" s="47">
        <f>V26*-1</f>
        <v>0</v>
      </c>
      <c r="W27" s="47">
        <f>T41</f>
        <v>0</v>
      </c>
      <c r="X27" s="47">
        <f>T53+T57+T61+T65+T69+T73</f>
        <v>0</v>
      </c>
      <c r="Y27" s="141">
        <f>F27+M27+N27+O27+P27+Q27+R27+S27+T27+U27+V27+W27+X27</f>
        <v>0</v>
      </c>
      <c r="Z27" s="142">
        <f>Y27-I27</f>
        <v>0</v>
      </c>
      <c r="AA27" s="598"/>
      <c r="AB27" s="611"/>
      <c r="AC27" s="81"/>
      <c r="AD27" s="22"/>
    </row>
    <row r="28" spans="2:30" ht="13.5" thickBot="1" x14ac:dyDescent="0.25">
      <c r="B28" s="67"/>
      <c r="C28" s="1"/>
      <c r="D28" s="1"/>
      <c r="E28" s="82"/>
      <c r="F28" s="8"/>
      <c r="G28" s="8"/>
      <c r="H28" s="8"/>
      <c r="I28" s="1"/>
      <c r="J28" s="1"/>
      <c r="K28" s="1"/>
      <c r="L28" s="1"/>
      <c r="M28" s="8"/>
      <c r="N28" s="8"/>
      <c r="O28" s="8"/>
      <c r="P28" s="8"/>
      <c r="Q28" s="8"/>
      <c r="R28" s="8"/>
      <c r="S28" s="8"/>
      <c r="T28" s="8"/>
      <c r="U28" s="8"/>
      <c r="V28" s="8"/>
      <c r="W28" s="8"/>
      <c r="X28" s="8"/>
      <c r="Y28" s="8"/>
      <c r="Z28" s="8"/>
      <c r="AA28" s="59"/>
      <c r="AB28" s="59"/>
      <c r="AC28" s="68"/>
    </row>
    <row r="29" spans="2:30" x14ac:dyDescent="0.2">
      <c r="B29" s="67"/>
      <c r="C29" s="625" t="s">
        <v>374</v>
      </c>
      <c r="D29" s="240"/>
      <c r="E29" s="241" t="s">
        <v>350</v>
      </c>
      <c r="F29" s="242">
        <f>F19+F24</f>
        <v>0</v>
      </c>
      <c r="G29" s="242">
        <f t="shared" ref="G29:I29" si="8">G19+G24</f>
        <v>0</v>
      </c>
      <c r="H29" s="242">
        <f t="shared" si="8"/>
        <v>0</v>
      </c>
      <c r="I29" s="242">
        <f t="shared" si="8"/>
        <v>0</v>
      </c>
      <c r="J29" s="240"/>
      <c r="K29" s="240"/>
      <c r="L29" s="240"/>
      <c r="M29" s="243"/>
      <c r="N29" s="243"/>
      <c r="O29" s="243"/>
      <c r="P29" s="244" t="s">
        <v>372</v>
      </c>
      <c r="Q29" s="245"/>
      <c r="R29" s="245"/>
      <c r="S29" s="245"/>
      <c r="T29" s="244" t="s">
        <v>373</v>
      </c>
      <c r="U29" s="244" t="s">
        <v>669</v>
      </c>
      <c r="V29" s="244" t="s">
        <v>935</v>
      </c>
      <c r="W29" s="245"/>
      <c r="X29" s="246"/>
      <c r="Y29" s="243"/>
      <c r="Z29" s="247">
        <f>I29-F29</f>
        <v>0</v>
      </c>
      <c r="AA29" s="605">
        <f>IF(Z30&lt;0,Z30*-1,0)</f>
        <v>0</v>
      </c>
      <c r="AB29" s="607">
        <f>IF(Z30&gt;0,Z30,0)</f>
        <v>0</v>
      </c>
      <c r="AC29" s="68"/>
    </row>
    <row r="30" spans="2:30" s="39" customFormat="1" ht="13.5" thickBot="1" x14ac:dyDescent="0.25">
      <c r="B30" s="80"/>
      <c r="C30" s="626"/>
      <c r="D30" s="248"/>
      <c r="E30" s="249" t="s">
        <v>114</v>
      </c>
      <c r="F30" s="250">
        <f>F22+F27</f>
        <v>0</v>
      </c>
      <c r="G30" s="250">
        <f t="shared" ref="G30:I30" si="9">G22+G27</f>
        <v>0</v>
      </c>
      <c r="H30" s="250">
        <f t="shared" si="9"/>
        <v>0</v>
      </c>
      <c r="I30" s="250">
        <f t="shared" si="9"/>
        <v>0</v>
      </c>
      <c r="J30" s="248"/>
      <c r="K30" s="248"/>
      <c r="L30" s="248"/>
      <c r="M30" s="251"/>
      <c r="N30" s="252"/>
      <c r="O30" s="252"/>
      <c r="P30" s="250">
        <f>N22+P22+N27+P27</f>
        <v>0</v>
      </c>
      <c r="Q30" s="251"/>
      <c r="R30" s="252"/>
      <c r="S30" s="252"/>
      <c r="T30" s="250">
        <f>R6+T6+R41+T41+R11+T11+R53+T53+R57+T57+R61+T61+R65+T65+R69+T69+R73+T73</f>
        <v>0</v>
      </c>
      <c r="U30" s="250">
        <f>U22+U27</f>
        <v>0</v>
      </c>
      <c r="V30" s="250">
        <f>V22+V27</f>
        <v>0</v>
      </c>
      <c r="W30" s="251"/>
      <c r="X30" s="251"/>
      <c r="Y30" s="250">
        <f>F30+P30+T30+U30+V30</f>
        <v>0</v>
      </c>
      <c r="Z30" s="250">
        <f>Y30-I30</f>
        <v>0</v>
      </c>
      <c r="AA30" s="606"/>
      <c r="AB30" s="608"/>
      <c r="AC30" s="81"/>
    </row>
    <row r="31" spans="2:30" ht="7.5" customHeight="1" thickBot="1" x14ac:dyDescent="0.25">
      <c r="B31" s="71"/>
      <c r="C31" s="83"/>
      <c r="D31" s="83"/>
      <c r="E31" s="84"/>
      <c r="F31" s="85"/>
      <c r="G31" s="85"/>
      <c r="H31" s="85"/>
      <c r="I31" s="83"/>
      <c r="J31" s="83"/>
      <c r="K31" s="83"/>
      <c r="L31" s="83"/>
      <c r="M31" s="85"/>
      <c r="N31" s="85"/>
      <c r="O31" s="85"/>
      <c r="P31" s="85"/>
      <c r="Q31" s="85"/>
      <c r="R31" s="85"/>
      <c r="S31" s="85"/>
      <c r="T31" s="85"/>
      <c r="U31" s="85"/>
      <c r="V31" s="85"/>
      <c r="W31" s="85"/>
      <c r="X31" s="85"/>
      <c r="Y31" s="85"/>
      <c r="Z31" s="85"/>
      <c r="AA31" s="72"/>
      <c r="AB31" s="72"/>
      <c r="AC31" s="75"/>
    </row>
    <row r="32" spans="2:30" ht="14.25" thickTop="1" thickBot="1" x14ac:dyDescent="0.25">
      <c r="C32" s="39"/>
      <c r="D32" s="39"/>
      <c r="E32" s="50"/>
      <c r="F32" s="40">
        <f>F7+F12+F22+F27</f>
        <v>0</v>
      </c>
      <c r="G32" s="8"/>
      <c r="H32" s="8"/>
      <c r="I32" s="40">
        <f>I7+I12+I22+I27</f>
        <v>0</v>
      </c>
      <c r="J32" s="39"/>
      <c r="K32" s="39"/>
      <c r="L32" s="39"/>
      <c r="M32" s="8"/>
      <c r="N32" s="8"/>
      <c r="O32" s="8"/>
      <c r="P32" s="8"/>
      <c r="Q32" s="8"/>
      <c r="R32" s="8"/>
      <c r="S32" s="8"/>
      <c r="T32" s="8"/>
      <c r="U32" s="8"/>
      <c r="V32" s="8"/>
      <c r="W32" s="8"/>
      <c r="X32" s="8"/>
      <c r="Y32" s="40">
        <f>Y7+Y12++Y22+Y27</f>
        <v>0</v>
      </c>
      <c r="Z32" s="40">
        <f>Z7+Z12+Z22+Z27</f>
        <v>0</v>
      </c>
      <c r="AA32" s="31"/>
    </row>
    <row r="33" spans="2:29" ht="7.5" customHeight="1" thickTop="1" thickBot="1" x14ac:dyDescent="0.25">
      <c r="B33" s="76"/>
      <c r="C33" s="91"/>
      <c r="D33" s="91"/>
      <c r="E33" s="92"/>
      <c r="F33" s="93"/>
      <c r="G33" s="93"/>
      <c r="H33" s="93"/>
      <c r="I33" s="91"/>
      <c r="J33" s="91"/>
      <c r="K33" s="91"/>
      <c r="L33" s="91"/>
      <c r="M33" s="93"/>
      <c r="N33" s="93"/>
      <c r="O33" s="93"/>
      <c r="P33" s="93"/>
      <c r="Q33" s="93"/>
      <c r="R33" s="93"/>
      <c r="S33" s="93"/>
      <c r="T33" s="93"/>
      <c r="U33" s="93"/>
      <c r="V33" s="93"/>
      <c r="W33" s="93"/>
      <c r="X33" s="93"/>
      <c r="Y33" s="93"/>
      <c r="Z33" s="93"/>
      <c r="AA33" s="77"/>
      <c r="AB33" s="77"/>
      <c r="AC33" s="79"/>
    </row>
    <row r="34" spans="2:29" x14ac:dyDescent="0.2">
      <c r="B34" s="67"/>
      <c r="C34" s="599" t="s">
        <v>365</v>
      </c>
      <c r="D34" s="43"/>
      <c r="E34" s="45" t="s">
        <v>350</v>
      </c>
      <c r="F34" s="86">
        <f>VLOOKUP($C$1,Daten[],36,0)</f>
        <v>0</v>
      </c>
      <c r="G34" s="125">
        <v>0</v>
      </c>
      <c r="H34" s="125">
        <v>0</v>
      </c>
      <c r="I34" s="87">
        <f>G34+H34</f>
        <v>0</v>
      </c>
      <c r="J34" s="1"/>
      <c r="K34" s="1"/>
      <c r="L34" s="97"/>
      <c r="M34" s="97" t="s">
        <v>348</v>
      </c>
      <c r="N34" s="97"/>
      <c r="O34" s="97" t="s">
        <v>366</v>
      </c>
      <c r="P34" s="97"/>
      <c r="Q34" s="97" t="s">
        <v>343</v>
      </c>
      <c r="R34" s="97"/>
      <c r="S34" s="97" t="s">
        <v>344</v>
      </c>
      <c r="T34" s="97"/>
      <c r="U34" s="97"/>
      <c r="V34" s="97"/>
      <c r="W34" s="97" t="s">
        <v>368</v>
      </c>
      <c r="X34" s="97" t="s">
        <v>381</v>
      </c>
      <c r="Y34" s="59"/>
      <c r="Z34" s="59"/>
      <c r="AA34" s="604" t="str">
        <f>IF(Z36&lt;0,"Kein Antrag via ZB möglich!","")</f>
        <v/>
      </c>
      <c r="AB34" s="596">
        <f>IF(Z36&gt;0,Z36,0)</f>
        <v>0</v>
      </c>
      <c r="AC34" s="68"/>
    </row>
    <row r="35" spans="2:29" x14ac:dyDescent="0.2">
      <c r="B35" s="67"/>
      <c r="C35" s="600"/>
      <c r="D35" s="59"/>
      <c r="E35" s="60" t="s">
        <v>114</v>
      </c>
      <c r="F35" s="38">
        <f>VLOOKUP($C$1,Daten[],37,0)</f>
        <v>0</v>
      </c>
      <c r="G35" s="128">
        <v>0</v>
      </c>
      <c r="H35" s="128">
        <v>0</v>
      </c>
      <c r="I35" s="143">
        <f>G35+H35</f>
        <v>0</v>
      </c>
      <c r="J35" s="1"/>
      <c r="K35" s="1"/>
      <c r="L35" s="12"/>
      <c r="M35" s="578">
        <f>U6</f>
        <v>0</v>
      </c>
      <c r="N35" s="577"/>
      <c r="O35" s="578">
        <f>U11</f>
        <v>0</v>
      </c>
      <c r="P35" s="577"/>
      <c r="Q35" s="578">
        <f>U21</f>
        <v>0</v>
      </c>
      <c r="R35" s="577"/>
      <c r="S35" s="578">
        <f>U26</f>
        <v>0</v>
      </c>
      <c r="T35" s="577"/>
      <c r="U35" s="577"/>
      <c r="V35" s="578"/>
      <c r="W35" s="578">
        <f>U41</f>
        <v>0</v>
      </c>
      <c r="X35" s="578">
        <f>U53+U57+U61+U65+U69+U73</f>
        <v>0</v>
      </c>
      <c r="Y35" s="42"/>
      <c r="Z35" s="42"/>
      <c r="AA35" s="604"/>
      <c r="AB35" s="602"/>
      <c r="AC35" s="68"/>
    </row>
    <row r="36" spans="2:29" ht="13.5" thickBot="1" x14ac:dyDescent="0.25">
      <c r="B36" s="67"/>
      <c r="C36" s="601"/>
      <c r="D36" s="144"/>
      <c r="E36" s="88"/>
      <c r="F36" s="47"/>
      <c r="G36" s="47"/>
      <c r="H36" s="47"/>
      <c r="I36" s="337"/>
      <c r="J36" s="1"/>
      <c r="K36" s="1"/>
      <c r="L36" s="12"/>
      <c r="M36" s="38">
        <f>M35</f>
        <v>0</v>
      </c>
      <c r="N36" s="336"/>
      <c r="O36" s="38">
        <f>O35</f>
        <v>0</v>
      </c>
      <c r="P36" s="336"/>
      <c r="Q36" s="38">
        <f>Q35</f>
        <v>0</v>
      </c>
      <c r="R36" s="336"/>
      <c r="S36" s="38">
        <f>S35</f>
        <v>0</v>
      </c>
      <c r="T36" s="336"/>
      <c r="U36" s="336"/>
      <c r="V36" s="135"/>
      <c r="W36" s="38">
        <f>W35</f>
        <v>0</v>
      </c>
      <c r="X36" s="38">
        <f>X35</f>
        <v>0</v>
      </c>
      <c r="Y36" s="335">
        <f>F36+M36+N36+O36+P36+Q36+R36+S36+T36+U36+V36+W36+X36</f>
        <v>0</v>
      </c>
      <c r="Z36" s="335">
        <f>Y36-I35</f>
        <v>0</v>
      </c>
      <c r="AA36" s="604"/>
      <c r="AB36" s="603"/>
      <c r="AC36" s="68"/>
    </row>
    <row r="37" spans="2:29" ht="7.5" customHeight="1" thickBot="1" x14ac:dyDescent="0.25">
      <c r="B37" s="71"/>
      <c r="C37" s="83"/>
      <c r="D37" s="83"/>
      <c r="E37" s="84"/>
      <c r="F37" s="85"/>
      <c r="G37" s="85"/>
      <c r="H37" s="85"/>
      <c r="I37" s="83"/>
      <c r="J37" s="83"/>
      <c r="K37" s="83"/>
      <c r="L37" s="83"/>
      <c r="M37" s="85"/>
      <c r="N37" s="85"/>
      <c r="O37" s="85"/>
      <c r="P37" s="85"/>
      <c r="Q37" s="85"/>
      <c r="R37" s="85"/>
      <c r="S37" s="85"/>
      <c r="T37" s="85"/>
      <c r="U37" s="85"/>
      <c r="V37" s="85"/>
      <c r="W37" s="85"/>
      <c r="X37" s="85"/>
      <c r="Y37" s="85"/>
      <c r="Z37" s="85"/>
      <c r="AA37" s="72"/>
      <c r="AB37" s="72"/>
      <c r="AC37" s="75"/>
    </row>
    <row r="38" spans="2:29" ht="14.25" thickTop="1" thickBot="1" x14ac:dyDescent="0.25">
      <c r="C38" s="1"/>
      <c r="D38" s="1"/>
      <c r="E38" s="82"/>
      <c r="F38" s="8"/>
      <c r="G38" s="8"/>
      <c r="H38" s="8"/>
      <c r="I38" s="1"/>
      <c r="J38" s="39"/>
      <c r="K38" s="39"/>
      <c r="L38" s="39"/>
      <c r="M38" s="8"/>
      <c r="N38" s="8"/>
      <c r="O38" s="8"/>
      <c r="P38" s="8"/>
      <c r="Q38" s="8"/>
      <c r="R38" s="8"/>
      <c r="S38" s="8"/>
      <c r="T38" s="8"/>
      <c r="U38" s="8"/>
      <c r="V38" s="8"/>
      <c r="W38" s="8"/>
      <c r="X38" s="8"/>
      <c r="Y38" s="40"/>
      <c r="Z38" s="40"/>
    </row>
    <row r="39" spans="2:29" ht="7.5" customHeight="1" thickTop="1" thickBot="1" x14ac:dyDescent="0.25">
      <c r="B39" s="76"/>
      <c r="C39" s="77"/>
      <c r="D39" s="77"/>
      <c r="E39" s="78"/>
      <c r="F39" s="94"/>
      <c r="G39" s="95"/>
      <c r="H39" s="95"/>
      <c r="I39" s="77"/>
      <c r="J39" s="77"/>
      <c r="K39" s="77"/>
      <c r="L39" s="77"/>
      <c r="M39" s="77"/>
      <c r="N39" s="77"/>
      <c r="O39" s="77"/>
      <c r="P39" s="77"/>
      <c r="Q39" s="77"/>
      <c r="R39" s="77"/>
      <c r="S39" s="77"/>
      <c r="T39" s="77"/>
      <c r="U39" s="77"/>
      <c r="V39" s="77"/>
      <c r="W39" s="77"/>
      <c r="X39" s="77"/>
      <c r="Y39" s="77"/>
      <c r="Z39" s="77"/>
      <c r="AA39" s="77"/>
      <c r="AB39" s="77"/>
      <c r="AC39" s="79"/>
    </row>
    <row r="40" spans="2:29" x14ac:dyDescent="0.2">
      <c r="B40" s="67"/>
      <c r="C40" s="599" t="s">
        <v>354</v>
      </c>
      <c r="D40" s="43"/>
      <c r="E40" s="45" t="s">
        <v>350</v>
      </c>
      <c r="F40" s="86">
        <f>VLOOKUP($C$1,Daten[],41,0)</f>
        <v>0</v>
      </c>
      <c r="G40" s="89">
        <f>G4+G9+G19+G24</f>
        <v>0</v>
      </c>
      <c r="H40" s="89">
        <f>H4+H9+H19+H24</f>
        <v>0</v>
      </c>
      <c r="I40" s="43">
        <f>G40+H40</f>
        <v>0</v>
      </c>
      <c r="J40" s="574">
        <f>J4+J9+J19+J24</f>
        <v>0</v>
      </c>
      <c r="K40" s="43"/>
      <c r="L40" s="98" t="s">
        <v>512</v>
      </c>
      <c r="M40" s="98"/>
      <c r="N40" s="98" t="s">
        <v>347</v>
      </c>
      <c r="O40" s="98"/>
      <c r="P40" s="98" t="s">
        <v>367</v>
      </c>
      <c r="Q40" s="98"/>
      <c r="R40" s="98" t="s">
        <v>345</v>
      </c>
      <c r="S40" s="98"/>
      <c r="T40" s="98" t="s">
        <v>346</v>
      </c>
      <c r="U40" s="98" t="s">
        <v>669</v>
      </c>
      <c r="V40" s="98"/>
      <c r="W40" s="90"/>
      <c r="X40" s="90"/>
      <c r="Y40" s="43"/>
      <c r="Z40" s="61"/>
      <c r="AA40" s="596">
        <f>IF(AND((Z7+Z12+Z22+Z27)&lt;&gt;0,I42=I41),J42-I41,0)</f>
        <v>0</v>
      </c>
      <c r="AB40" s="596">
        <f>IF((I42&lt;I41),((I42-I41)*-1),0)</f>
        <v>0</v>
      </c>
      <c r="AC40" s="68"/>
    </row>
    <row r="41" spans="2:29" x14ac:dyDescent="0.2">
      <c r="B41" s="67"/>
      <c r="C41" s="600"/>
      <c r="D41" s="59"/>
      <c r="E41" s="82" t="s">
        <v>509</v>
      </c>
      <c r="F41" s="38">
        <f>VLOOKUP($C$1,Daten[],42,0)</f>
        <v>0</v>
      </c>
      <c r="G41" s="624" t="str">
        <f>IF(AND('Dateneingabe Mobilitäten'!I40&lt;OS!C8,'Dateneingabe Mobilitäten'!I40&gt;OS!C23),"10% Toleranz",IF(I40&lt;(F40*0.9),"ACHTUNG: OS-Mittel werden automatisch reduziert!",""))</f>
        <v/>
      </c>
      <c r="H41" s="624"/>
      <c r="I41" s="38">
        <f>OS!D31</f>
        <v>0</v>
      </c>
      <c r="J41" s="59"/>
      <c r="K41" s="60"/>
      <c r="L41" s="139">
        <f>MAX(0,I42)</f>
        <v>0</v>
      </c>
      <c r="M41" s="42"/>
      <c r="N41" s="128">
        <v>0</v>
      </c>
      <c r="O41" s="42"/>
      <c r="P41" s="128">
        <v>0</v>
      </c>
      <c r="Q41" s="42"/>
      <c r="R41" s="128">
        <v>0</v>
      </c>
      <c r="S41" s="42"/>
      <c r="T41" s="128">
        <v>0</v>
      </c>
      <c r="U41" s="128">
        <v>0</v>
      </c>
      <c r="V41" s="266"/>
      <c r="W41" s="266">
        <f>N41+P41+R41+T41</f>
        <v>0</v>
      </c>
      <c r="X41" s="267"/>
      <c r="Y41" s="42"/>
      <c r="Z41" s="265">
        <f>I41-I42</f>
        <v>0</v>
      </c>
      <c r="AA41" s="597"/>
      <c r="AB41" s="597"/>
      <c r="AC41" s="68"/>
    </row>
    <row r="42" spans="2:29" x14ac:dyDescent="0.2">
      <c r="B42" s="67"/>
      <c r="C42" s="600"/>
      <c r="D42" s="59"/>
      <c r="E42" s="82" t="s">
        <v>114</v>
      </c>
      <c r="F42" s="38"/>
      <c r="G42" s="624"/>
      <c r="H42" s="624"/>
      <c r="I42" s="257">
        <v>0</v>
      </c>
      <c r="J42" s="575">
        <f>IF(Z7+Z12+Z22+Z27&lt;&gt;0,OS!G31,OS!D31)</f>
        <v>0</v>
      </c>
      <c r="K42" s="60"/>
      <c r="L42" s="42"/>
      <c r="M42" s="42"/>
      <c r="N42" s="38">
        <f>N41*-1</f>
        <v>0</v>
      </c>
      <c r="O42" s="135"/>
      <c r="P42" s="38">
        <f>P41*-1</f>
        <v>0</v>
      </c>
      <c r="Q42" s="135"/>
      <c r="R42" s="38">
        <f>R41*-1</f>
        <v>0</v>
      </c>
      <c r="S42" s="135"/>
      <c r="T42" s="38">
        <f>T41*-1</f>
        <v>0</v>
      </c>
      <c r="U42" s="38">
        <f>U41*-1</f>
        <v>0</v>
      </c>
      <c r="V42" s="266"/>
      <c r="W42" s="266"/>
      <c r="X42" s="267"/>
      <c r="Y42" s="335">
        <f>I42+M43+N42+O42+P42+Q42+R42+S42+T42+U42+W43</f>
        <v>0</v>
      </c>
      <c r="Z42" s="143">
        <f>IF(AND((Z7+Z12+Z22+Z27)&lt;&gt;0,I42=I41),(J42-I41)*-1,I41-I42)</f>
        <v>0</v>
      </c>
      <c r="AA42" s="597"/>
      <c r="AB42" s="597"/>
      <c r="AC42" s="68"/>
    </row>
    <row r="43" spans="2:29" ht="13.5" thickBot="1" x14ac:dyDescent="0.25">
      <c r="B43" s="67"/>
      <c r="C43" s="601"/>
      <c r="D43" s="46"/>
      <c r="E43" s="49" t="s">
        <v>114</v>
      </c>
      <c r="F43" s="259"/>
      <c r="G43" s="259"/>
      <c r="H43" s="258" t="s">
        <v>516</v>
      </c>
      <c r="I43" s="47">
        <f>Y42</f>
        <v>0</v>
      </c>
      <c r="J43" s="46"/>
      <c r="K43" s="138"/>
      <c r="L43" s="136"/>
      <c r="M43" s="48"/>
      <c r="N43" s="136"/>
      <c r="O43" s="136"/>
      <c r="P43" s="136"/>
      <c r="Q43" s="136"/>
      <c r="R43" s="136"/>
      <c r="S43" s="136"/>
      <c r="T43" s="136"/>
      <c r="U43" s="136"/>
      <c r="V43" s="136"/>
      <c r="W43" s="114"/>
      <c r="X43" s="114"/>
      <c r="Y43" s="114"/>
      <c r="Z43" s="444"/>
      <c r="AA43" s="598"/>
      <c r="AB43" s="598"/>
      <c r="AC43" s="68"/>
    </row>
    <row r="44" spans="2:29" ht="13.5" thickBot="1" x14ac:dyDescent="0.25">
      <c r="B44" s="67"/>
      <c r="C44" s="59"/>
      <c r="D44" s="59"/>
      <c r="E44" s="60"/>
      <c r="F44" s="59"/>
      <c r="G44" s="59"/>
      <c r="H44" s="59"/>
      <c r="I44" s="59"/>
      <c r="J44" s="59"/>
      <c r="K44" s="59"/>
      <c r="L44" s="59"/>
      <c r="M44" s="59"/>
      <c r="N44" s="59"/>
      <c r="O44" s="59"/>
      <c r="P44" s="59"/>
      <c r="Q44" s="59"/>
      <c r="R44" s="59"/>
      <c r="S44" s="59"/>
      <c r="T44" s="59"/>
      <c r="U44" s="59"/>
      <c r="V44" s="59"/>
      <c r="W44" s="59"/>
      <c r="X44" s="59"/>
      <c r="Y44" s="59"/>
      <c r="Z44" s="59"/>
      <c r="AA44" s="59"/>
      <c r="AB44" s="59"/>
      <c r="AC44" s="68"/>
    </row>
    <row r="45" spans="2:29" ht="12.75" customHeight="1" x14ac:dyDescent="0.2">
      <c r="B45" s="67"/>
      <c r="C45" s="599" t="s">
        <v>359</v>
      </c>
      <c r="D45" s="43"/>
      <c r="E45" s="45" t="s">
        <v>350</v>
      </c>
      <c r="F45" s="86">
        <f>VLOOKUP($C$1,Daten[],38,0)</f>
        <v>0</v>
      </c>
      <c r="G45" s="583">
        <v>0</v>
      </c>
      <c r="H45" s="583">
        <v>0</v>
      </c>
      <c r="I45" s="86">
        <f>G45+H45</f>
        <v>0</v>
      </c>
      <c r="J45" s="43"/>
      <c r="K45" s="43"/>
      <c r="L45" s="98" t="s">
        <v>512</v>
      </c>
      <c r="M45" s="98" t="s">
        <v>348</v>
      </c>
      <c r="N45" s="98"/>
      <c r="O45" s="98" t="s">
        <v>366</v>
      </c>
      <c r="P45" s="98"/>
      <c r="Q45" s="98" t="s">
        <v>343</v>
      </c>
      <c r="R45" s="98"/>
      <c r="S45" s="98" t="s">
        <v>344</v>
      </c>
      <c r="T45" s="98"/>
      <c r="U45" s="98"/>
      <c r="V45" s="98"/>
      <c r="W45" s="90"/>
      <c r="X45" s="98" t="s">
        <v>381</v>
      </c>
      <c r="Y45" s="43"/>
      <c r="Z45" s="61"/>
      <c r="AA45" s="620" t="str">
        <f>IF(Z47&lt;0,"Kein Antrag via ZB möglich!","")</f>
        <v/>
      </c>
      <c r="AB45" s="596">
        <f>IF((I47&lt;I46),((I47-(F46+M47+O47+Q47+S47+X47))*-1),0)</f>
        <v>0</v>
      </c>
      <c r="AC45" s="68"/>
    </row>
    <row r="46" spans="2:29" x14ac:dyDescent="0.2">
      <c r="B46" s="67"/>
      <c r="C46" s="600"/>
      <c r="D46" s="59"/>
      <c r="E46" s="82" t="s">
        <v>509</v>
      </c>
      <c r="F46" s="38">
        <f>VLOOKUP($C$1,Daten[],39,0)</f>
        <v>0</v>
      </c>
      <c r="G46" s="42"/>
      <c r="H46" s="42"/>
      <c r="I46" s="38">
        <f>MIN(I34*100,F46+M47+O47+Q47+S47+X47)</f>
        <v>0</v>
      </c>
      <c r="J46" s="59"/>
      <c r="K46" s="60"/>
      <c r="L46" s="139">
        <v>0</v>
      </c>
      <c r="M46" s="42"/>
      <c r="N46" s="42"/>
      <c r="O46" s="42"/>
      <c r="P46" s="42"/>
      <c r="Q46" s="42"/>
      <c r="R46" s="42"/>
      <c r="S46" s="42"/>
      <c r="T46" s="42"/>
      <c r="U46" s="42"/>
      <c r="V46" s="42"/>
      <c r="W46" s="42"/>
      <c r="X46" s="42"/>
      <c r="Y46" s="42"/>
      <c r="Z46" s="64"/>
      <c r="AA46" s="620"/>
      <c r="AB46" s="597"/>
      <c r="AC46" s="68"/>
    </row>
    <row r="47" spans="2:29" x14ac:dyDescent="0.2">
      <c r="B47" s="67"/>
      <c r="C47" s="600"/>
      <c r="D47" s="59"/>
      <c r="E47" s="82" t="s">
        <v>114</v>
      </c>
      <c r="F47" s="38"/>
      <c r="G47" s="42"/>
      <c r="H47" s="42"/>
      <c r="I47" s="584">
        <v>0</v>
      </c>
      <c r="J47" s="59"/>
      <c r="K47" s="60"/>
      <c r="L47" s="261"/>
      <c r="M47" s="38">
        <f>V6</f>
        <v>0</v>
      </c>
      <c r="N47" s="135"/>
      <c r="O47" s="38">
        <f>V11</f>
        <v>0</v>
      </c>
      <c r="P47" s="135"/>
      <c r="Q47" s="38">
        <f>V21</f>
        <v>0</v>
      </c>
      <c r="R47" s="135"/>
      <c r="S47" s="38">
        <f>V26</f>
        <v>0</v>
      </c>
      <c r="T47" s="42"/>
      <c r="U47" s="42"/>
      <c r="V47" s="42"/>
      <c r="W47" s="42"/>
      <c r="X47" s="38">
        <f>V53+V57+V61+V65+V69+V73</f>
        <v>0</v>
      </c>
      <c r="Y47" s="335">
        <f>F46+M47+O47+Q47+S47+U47+X47</f>
        <v>0</v>
      </c>
      <c r="Z47" s="143">
        <f>Y47-I47</f>
        <v>0</v>
      </c>
      <c r="AA47" s="620"/>
      <c r="AB47" s="597"/>
      <c r="AC47" s="68"/>
    </row>
    <row r="48" spans="2:29" ht="13.5" thickBot="1" x14ac:dyDescent="0.25">
      <c r="B48" s="67"/>
      <c r="C48" s="601"/>
      <c r="D48" s="46"/>
      <c r="E48" s="49"/>
      <c r="F48" s="259"/>
      <c r="G48" s="259"/>
      <c r="H48" s="445" t="s">
        <v>516</v>
      </c>
      <c r="I48" s="446">
        <f>Y47</f>
        <v>0</v>
      </c>
      <c r="J48" s="46"/>
      <c r="K48" s="138"/>
      <c r="L48" s="136"/>
      <c r="M48" s="48"/>
      <c r="N48" s="136"/>
      <c r="O48" s="136"/>
      <c r="P48" s="136"/>
      <c r="Q48" s="136"/>
      <c r="R48" s="136"/>
      <c r="S48" s="136"/>
      <c r="T48" s="136"/>
      <c r="U48" s="136"/>
      <c r="V48" s="136"/>
      <c r="W48" s="136"/>
      <c r="X48" s="48"/>
      <c r="Y48" s="114"/>
      <c r="Z48" s="444"/>
      <c r="AA48" s="620"/>
      <c r="AB48" s="598"/>
      <c r="AC48" s="68"/>
    </row>
    <row r="49" spans="2:29" ht="7.5" customHeight="1" thickBot="1" x14ac:dyDescent="0.25">
      <c r="B49" s="71"/>
      <c r="C49" s="72"/>
      <c r="D49" s="72"/>
      <c r="E49" s="73"/>
      <c r="F49" s="72"/>
      <c r="G49" s="72"/>
      <c r="H49" s="72"/>
      <c r="I49" s="72"/>
      <c r="J49" s="72"/>
      <c r="K49" s="72"/>
      <c r="L49" s="72"/>
      <c r="M49" s="72"/>
      <c r="N49" s="72"/>
      <c r="O49" s="72"/>
      <c r="P49" s="72"/>
      <c r="Q49" s="72"/>
      <c r="R49" s="72"/>
      <c r="S49" s="72"/>
      <c r="T49" s="72"/>
      <c r="U49" s="72"/>
      <c r="V49" s="72"/>
      <c r="W49" s="72"/>
      <c r="X49" s="72"/>
      <c r="Y49" s="72"/>
      <c r="Z49" s="72"/>
      <c r="AA49" s="72"/>
      <c r="AB49" s="72"/>
      <c r="AC49" s="75"/>
    </row>
    <row r="50" spans="2:29" ht="14.25" thickTop="1" thickBot="1" x14ac:dyDescent="0.25"/>
    <row r="51" spans="2:29" ht="7.5" customHeight="1" thickTop="1" thickBot="1" x14ac:dyDescent="0.25">
      <c r="B51" s="76"/>
      <c r="C51" s="77"/>
      <c r="D51" s="77"/>
      <c r="E51" s="78"/>
      <c r="F51" s="77"/>
      <c r="G51" s="77"/>
      <c r="H51" s="77"/>
      <c r="I51" s="77"/>
      <c r="J51" s="77"/>
      <c r="K51" s="77"/>
      <c r="L51" s="77"/>
      <c r="M51" s="77"/>
      <c r="N51" s="77"/>
      <c r="O51" s="77"/>
      <c r="P51" s="77"/>
      <c r="Q51" s="77"/>
      <c r="R51" s="77"/>
      <c r="S51" s="77"/>
      <c r="T51" s="77"/>
      <c r="U51" s="77"/>
      <c r="V51" s="77"/>
      <c r="W51" s="77"/>
      <c r="X51" s="77"/>
      <c r="Y51" s="77"/>
      <c r="Z51" s="77"/>
      <c r="AA51" s="77"/>
      <c r="AB51" s="77"/>
      <c r="AC51" s="79"/>
    </row>
    <row r="52" spans="2:29" x14ac:dyDescent="0.2">
      <c r="B52" s="67"/>
      <c r="C52" s="599" t="s">
        <v>1038</v>
      </c>
      <c r="D52" s="43"/>
      <c r="E52" s="45" t="s">
        <v>691</v>
      </c>
      <c r="F52" s="44">
        <f>VLOOKUP($C$1,Daten[],22,0)</f>
        <v>0</v>
      </c>
      <c r="G52" s="129">
        <v>0</v>
      </c>
      <c r="H52" s="129">
        <v>0</v>
      </c>
      <c r="I52" s="44">
        <f>G52+H52</f>
        <v>0</v>
      </c>
      <c r="J52" s="43" t="str">
        <f>IF(I52&gt;F52,"+"&amp;(I52-F52)&amp;" BIP(s)","")</f>
        <v/>
      </c>
      <c r="K52" s="43"/>
      <c r="L52" s="98" t="s">
        <v>512</v>
      </c>
      <c r="M52" s="98"/>
      <c r="N52" s="98" t="s">
        <v>347</v>
      </c>
      <c r="O52" s="98"/>
      <c r="P52" s="98" t="s">
        <v>367</v>
      </c>
      <c r="Q52" s="98"/>
      <c r="R52" s="98" t="s">
        <v>345</v>
      </c>
      <c r="S52" s="98"/>
      <c r="T52" s="98" t="s">
        <v>346</v>
      </c>
      <c r="U52" s="98" t="s">
        <v>669</v>
      </c>
      <c r="V52" s="98" t="s">
        <v>935</v>
      </c>
      <c r="W52" s="90"/>
      <c r="X52" s="90"/>
      <c r="Y52" s="43"/>
      <c r="Z52" s="61"/>
      <c r="AA52" s="596">
        <f>IF(Z54&lt;0,Z54*-1,0)</f>
        <v>0</v>
      </c>
      <c r="AB52" s="596">
        <f>IF(Z54&gt;0,Z54,0)</f>
        <v>0</v>
      </c>
      <c r="AC52" s="68"/>
    </row>
    <row r="53" spans="2:29" x14ac:dyDescent="0.2">
      <c r="B53" s="67"/>
      <c r="C53" s="600"/>
      <c r="D53" s="59"/>
      <c r="E53" s="60" t="s">
        <v>350</v>
      </c>
      <c r="F53" s="37">
        <f>IFERROR(F52*15,"")</f>
        <v>0</v>
      </c>
      <c r="G53" s="441">
        <v>0</v>
      </c>
      <c r="H53" s="441">
        <v>0</v>
      </c>
      <c r="I53" s="37">
        <f>G53+H53</f>
        <v>0</v>
      </c>
      <c r="J53" s="59"/>
      <c r="K53" s="60" t="s">
        <v>511</v>
      </c>
      <c r="L53" s="139">
        <f>MAX(0,K54)</f>
        <v>0</v>
      </c>
      <c r="M53" s="42"/>
      <c r="N53" s="131">
        <v>0</v>
      </c>
      <c r="O53" s="42"/>
      <c r="P53" s="131">
        <v>0</v>
      </c>
      <c r="Q53" s="42"/>
      <c r="R53" s="131">
        <v>0</v>
      </c>
      <c r="S53" s="42"/>
      <c r="T53" s="131">
        <v>0</v>
      </c>
      <c r="U53" s="131">
        <v>0</v>
      </c>
      <c r="V53" s="131">
        <v>0</v>
      </c>
      <c r="W53" s="42"/>
      <c r="X53" s="266">
        <f>N53+P53+R53+T53</f>
        <v>0</v>
      </c>
      <c r="Y53" s="42"/>
      <c r="Z53" s="64"/>
      <c r="AA53" s="597"/>
      <c r="AB53" s="597"/>
      <c r="AC53" s="68"/>
    </row>
    <row r="54" spans="2:29" ht="13.5" thickBot="1" x14ac:dyDescent="0.25">
      <c r="B54" s="67"/>
      <c r="C54" s="601"/>
      <c r="D54" s="382" t="s">
        <v>383</v>
      </c>
      <c r="E54" s="49" t="s">
        <v>114</v>
      </c>
      <c r="F54" s="47">
        <f>VLOOKUP($C$1,Daten[],23,0)</f>
        <v>0</v>
      </c>
      <c r="G54" s="130">
        <v>0</v>
      </c>
      <c r="H54" s="130">
        <v>0</v>
      </c>
      <c r="I54" s="141">
        <f>G54+H54</f>
        <v>0</v>
      </c>
      <c r="J54" s="137"/>
      <c r="K54" s="138">
        <f>F54-I54</f>
        <v>0</v>
      </c>
      <c r="L54" s="46"/>
      <c r="M54" s="48"/>
      <c r="N54" s="47">
        <f>N53*-1</f>
        <v>0</v>
      </c>
      <c r="O54" s="48"/>
      <c r="P54" s="47">
        <f>P53*-1</f>
        <v>0</v>
      </c>
      <c r="Q54" s="48"/>
      <c r="R54" s="47">
        <f>R53*-1</f>
        <v>0</v>
      </c>
      <c r="S54" s="48"/>
      <c r="T54" s="47">
        <f>T53*-1</f>
        <v>0</v>
      </c>
      <c r="U54" s="47">
        <f>U53*-1</f>
        <v>0</v>
      </c>
      <c r="V54" s="47">
        <f>V53*-1</f>
        <v>0</v>
      </c>
      <c r="W54" s="48"/>
      <c r="X54" s="48"/>
      <c r="Y54" s="141">
        <f>F54+M54+N54+O54+P54+Q54+R54+S54+T54+U54+V54</f>
        <v>0</v>
      </c>
      <c r="Z54" s="142">
        <f>Y54-I54</f>
        <v>0</v>
      </c>
      <c r="AA54" s="598"/>
      <c r="AB54" s="598"/>
      <c r="AC54" s="68"/>
    </row>
    <row r="55" spans="2:29" ht="13.5" thickBot="1" x14ac:dyDescent="0.25">
      <c r="B55" s="67"/>
      <c r="C55" s="59"/>
      <c r="D55" s="59"/>
      <c r="E55" s="60"/>
      <c r="F55" s="59"/>
      <c r="G55" s="59"/>
      <c r="H55" s="59"/>
      <c r="I55" s="59"/>
      <c r="J55" s="59"/>
      <c r="K55" s="59"/>
      <c r="L55" s="59"/>
      <c r="M55" s="59"/>
      <c r="N55" s="59"/>
      <c r="O55" s="59"/>
      <c r="P55" s="59"/>
      <c r="Q55" s="59"/>
      <c r="R55" s="59"/>
      <c r="S55" s="59"/>
      <c r="T55" s="59"/>
      <c r="U55" s="59"/>
      <c r="V55" s="59"/>
      <c r="W55" s="59"/>
      <c r="X55" s="59"/>
      <c r="Y55" s="59"/>
      <c r="Z55" s="59"/>
      <c r="AA55" s="59"/>
      <c r="AB55" s="59"/>
      <c r="AC55" s="68"/>
    </row>
    <row r="56" spans="2:29" x14ac:dyDescent="0.2">
      <c r="B56" s="67"/>
      <c r="C56" s="599" t="s">
        <v>1039</v>
      </c>
      <c r="D56" s="43"/>
      <c r="E56" s="45" t="s">
        <v>691</v>
      </c>
      <c r="F56" s="44">
        <f>VLOOKUP($C$1,Daten[],24,0)</f>
        <v>0</v>
      </c>
      <c r="G56" s="129">
        <v>0</v>
      </c>
      <c r="H56" s="129">
        <v>0</v>
      </c>
      <c r="I56" s="44">
        <f>G56+H56</f>
        <v>0</v>
      </c>
      <c r="J56" s="43" t="str">
        <f>IF(I56&gt;F56,"+"&amp;(I56-F56)&amp;" BIP(s)","")</f>
        <v/>
      </c>
      <c r="K56" s="43"/>
      <c r="L56" s="98" t="s">
        <v>512</v>
      </c>
      <c r="M56" s="98"/>
      <c r="N56" s="98" t="s">
        <v>347</v>
      </c>
      <c r="O56" s="98"/>
      <c r="P56" s="98" t="s">
        <v>367</v>
      </c>
      <c r="Q56" s="98"/>
      <c r="R56" s="98" t="s">
        <v>345</v>
      </c>
      <c r="S56" s="98"/>
      <c r="T56" s="98" t="s">
        <v>346</v>
      </c>
      <c r="U56" s="98" t="s">
        <v>669</v>
      </c>
      <c r="V56" s="98" t="s">
        <v>935</v>
      </c>
      <c r="W56" s="90"/>
      <c r="X56" s="90"/>
      <c r="Y56" s="43"/>
      <c r="Z56" s="61"/>
      <c r="AA56" s="596">
        <f>IF(Z58&lt;0,Z58*-1,0)</f>
        <v>0</v>
      </c>
      <c r="AB56" s="596">
        <f>IF(Z58&gt;0,Z58,0)</f>
        <v>0</v>
      </c>
      <c r="AC56" s="68"/>
    </row>
    <row r="57" spans="2:29" x14ac:dyDescent="0.2">
      <c r="B57" s="67"/>
      <c r="C57" s="600"/>
      <c r="D57" s="59"/>
      <c r="E57" s="60" t="s">
        <v>350</v>
      </c>
      <c r="F57" s="37">
        <f>IFERROR(F56*16,"")</f>
        <v>0</v>
      </c>
      <c r="G57" s="441">
        <v>0</v>
      </c>
      <c r="H57" s="441">
        <v>0</v>
      </c>
      <c r="I57" s="37">
        <f>G57+H57</f>
        <v>0</v>
      </c>
      <c r="J57" s="59"/>
      <c r="K57" s="60" t="s">
        <v>511</v>
      </c>
      <c r="L57" s="139">
        <f>MAX(0,K58)</f>
        <v>0</v>
      </c>
      <c r="M57" s="42"/>
      <c r="N57" s="131">
        <v>0</v>
      </c>
      <c r="O57" s="42"/>
      <c r="P57" s="131">
        <v>0</v>
      </c>
      <c r="Q57" s="42"/>
      <c r="R57" s="131">
        <v>0</v>
      </c>
      <c r="S57" s="42"/>
      <c r="T57" s="131">
        <v>0</v>
      </c>
      <c r="U57" s="131">
        <v>0</v>
      </c>
      <c r="V57" s="131">
        <v>0</v>
      </c>
      <c r="W57" s="42"/>
      <c r="X57" s="266">
        <f>N57+P57+R57+T57</f>
        <v>0</v>
      </c>
      <c r="Y57" s="42"/>
      <c r="Z57" s="64"/>
      <c r="AA57" s="597"/>
      <c r="AB57" s="597"/>
      <c r="AC57" s="68"/>
    </row>
    <row r="58" spans="2:29" ht="13.5" thickBot="1" x14ac:dyDescent="0.25">
      <c r="B58" s="67"/>
      <c r="C58" s="601"/>
      <c r="D58" s="382" t="s">
        <v>383</v>
      </c>
      <c r="E58" s="49" t="s">
        <v>114</v>
      </c>
      <c r="F58" s="47">
        <f>VLOOKUP($C$1,Daten[],25,0)</f>
        <v>0</v>
      </c>
      <c r="G58" s="130">
        <v>0</v>
      </c>
      <c r="H58" s="130">
        <v>0</v>
      </c>
      <c r="I58" s="141">
        <f>G58+H58</f>
        <v>0</v>
      </c>
      <c r="J58" s="137"/>
      <c r="K58" s="138">
        <f>F58-I58</f>
        <v>0</v>
      </c>
      <c r="L58" s="46"/>
      <c r="M58" s="48"/>
      <c r="N58" s="47">
        <f>N57*-1</f>
        <v>0</v>
      </c>
      <c r="O58" s="48"/>
      <c r="P58" s="47">
        <f>P57*-1</f>
        <v>0</v>
      </c>
      <c r="Q58" s="48"/>
      <c r="R58" s="47">
        <f>R57*-1</f>
        <v>0</v>
      </c>
      <c r="S58" s="48"/>
      <c r="T58" s="47">
        <f>T57*-1</f>
        <v>0</v>
      </c>
      <c r="U58" s="47">
        <f>U57*-1</f>
        <v>0</v>
      </c>
      <c r="V58" s="47">
        <f>V57*-1</f>
        <v>0</v>
      </c>
      <c r="W58" s="48"/>
      <c r="X58" s="48"/>
      <c r="Y58" s="141">
        <f>F58+M58+N58+O58+P58+Q58+R58+S58+T58+U58+V58</f>
        <v>0</v>
      </c>
      <c r="Z58" s="142">
        <f>Y58-I58</f>
        <v>0</v>
      </c>
      <c r="AA58" s="598"/>
      <c r="AB58" s="598"/>
      <c r="AC58" s="68"/>
    </row>
    <row r="59" spans="2:29" ht="13.5" thickBot="1" x14ac:dyDescent="0.25">
      <c r="B59" s="67"/>
      <c r="C59" s="59"/>
      <c r="D59" s="59"/>
      <c r="E59" s="60"/>
      <c r="F59" s="59"/>
      <c r="G59" s="59"/>
      <c r="H59" s="59"/>
      <c r="I59" s="59"/>
      <c r="J59" s="59"/>
      <c r="K59" s="59"/>
      <c r="L59" s="59"/>
      <c r="M59" s="59"/>
      <c r="N59" s="59"/>
      <c r="O59" s="59"/>
      <c r="P59" s="59"/>
      <c r="Q59" s="59"/>
      <c r="R59" s="59"/>
      <c r="S59" s="59"/>
      <c r="T59" s="59"/>
      <c r="U59" s="59"/>
      <c r="V59" s="59"/>
      <c r="W59" s="59"/>
      <c r="X59" s="59"/>
      <c r="Y59" s="59"/>
      <c r="Z59" s="59"/>
      <c r="AA59" s="59"/>
      <c r="AB59" s="59"/>
      <c r="AC59" s="68"/>
    </row>
    <row r="60" spans="2:29" x14ac:dyDescent="0.2">
      <c r="B60" s="67"/>
      <c r="C60" s="599" t="s">
        <v>1040</v>
      </c>
      <c r="D60" s="43"/>
      <c r="E60" s="45" t="s">
        <v>691</v>
      </c>
      <c r="F60" s="44">
        <f>VLOOKUP($C$1,Daten[],26,0)</f>
        <v>0</v>
      </c>
      <c r="G60" s="129">
        <v>0</v>
      </c>
      <c r="H60" s="129">
        <v>0</v>
      </c>
      <c r="I60" s="44">
        <f>G60+H60</f>
        <v>0</v>
      </c>
      <c r="J60" s="43" t="str">
        <f>IF(I60&gt;F60,"+"&amp;(I60-F60)&amp;" BIP(s)","")</f>
        <v/>
      </c>
      <c r="K60" s="43"/>
      <c r="L60" s="98" t="s">
        <v>512</v>
      </c>
      <c r="M60" s="98"/>
      <c r="N60" s="98" t="s">
        <v>347</v>
      </c>
      <c r="O60" s="98"/>
      <c r="P60" s="98" t="s">
        <v>367</v>
      </c>
      <c r="Q60" s="98"/>
      <c r="R60" s="98" t="s">
        <v>345</v>
      </c>
      <c r="S60" s="98"/>
      <c r="T60" s="98" t="s">
        <v>346</v>
      </c>
      <c r="U60" s="98" t="s">
        <v>669</v>
      </c>
      <c r="V60" s="98" t="s">
        <v>935</v>
      </c>
      <c r="W60" s="90"/>
      <c r="X60" s="90"/>
      <c r="Y60" s="43"/>
      <c r="Z60" s="61"/>
      <c r="AA60" s="596">
        <f>IF(Z62&lt;0,Z62*-1,0)</f>
        <v>0</v>
      </c>
      <c r="AB60" s="596">
        <f>IF(Z62&gt;0,Z62,0)</f>
        <v>0</v>
      </c>
      <c r="AC60" s="68"/>
    </row>
    <row r="61" spans="2:29" x14ac:dyDescent="0.2">
      <c r="B61" s="67"/>
      <c r="C61" s="600"/>
      <c r="D61" s="59"/>
      <c r="E61" s="60" t="s">
        <v>350</v>
      </c>
      <c r="F61" s="37">
        <f>IFERROR(F60*17,"")</f>
        <v>0</v>
      </c>
      <c r="G61" s="441">
        <v>0</v>
      </c>
      <c r="H61" s="441">
        <v>0</v>
      </c>
      <c r="I61" s="37">
        <f>G61+H61</f>
        <v>0</v>
      </c>
      <c r="J61" s="8"/>
      <c r="K61" s="60" t="s">
        <v>511</v>
      </c>
      <c r="L61" s="139">
        <f>MAX(0,K62)</f>
        <v>0</v>
      </c>
      <c r="M61" s="42"/>
      <c r="N61" s="131">
        <v>0</v>
      </c>
      <c r="O61" s="42"/>
      <c r="P61" s="131">
        <v>0</v>
      </c>
      <c r="Q61" s="42"/>
      <c r="R61" s="131">
        <v>0</v>
      </c>
      <c r="S61" s="42"/>
      <c r="T61" s="131">
        <v>0</v>
      </c>
      <c r="U61" s="131">
        <v>0</v>
      </c>
      <c r="V61" s="131">
        <v>0</v>
      </c>
      <c r="W61" s="42"/>
      <c r="X61" s="266">
        <f>N61+P61+R61+T61</f>
        <v>0</v>
      </c>
      <c r="Y61" s="42"/>
      <c r="Z61" s="64"/>
      <c r="AA61" s="597"/>
      <c r="AB61" s="597"/>
      <c r="AC61" s="68"/>
    </row>
    <row r="62" spans="2:29" ht="13.5" thickBot="1" x14ac:dyDescent="0.25">
      <c r="B62" s="67"/>
      <c r="C62" s="601"/>
      <c r="D62" s="382" t="s">
        <v>383</v>
      </c>
      <c r="E62" s="49" t="s">
        <v>114</v>
      </c>
      <c r="F62" s="47">
        <f>VLOOKUP($C$1,Daten[],27,0)</f>
        <v>0</v>
      </c>
      <c r="G62" s="130">
        <v>0</v>
      </c>
      <c r="H62" s="130">
        <v>0</v>
      </c>
      <c r="I62" s="141">
        <f>G62+H62</f>
        <v>0</v>
      </c>
      <c r="J62" s="137"/>
      <c r="K62" s="138">
        <f>F62-I62</f>
        <v>0</v>
      </c>
      <c r="L62" s="46"/>
      <c r="M62" s="48"/>
      <c r="N62" s="47">
        <f>N61*-1</f>
        <v>0</v>
      </c>
      <c r="O62" s="48"/>
      <c r="P62" s="47">
        <f>P61*-1</f>
        <v>0</v>
      </c>
      <c r="Q62" s="48"/>
      <c r="R62" s="47">
        <f>R61*-1</f>
        <v>0</v>
      </c>
      <c r="S62" s="48"/>
      <c r="T62" s="47">
        <f>T61*-1</f>
        <v>0</v>
      </c>
      <c r="U62" s="47">
        <f>U61*-1</f>
        <v>0</v>
      </c>
      <c r="V62" s="47">
        <f>V61*-1</f>
        <v>0</v>
      </c>
      <c r="W62" s="48"/>
      <c r="X62" s="48"/>
      <c r="Y62" s="141">
        <f>F62+M62+N62+O62+P62+Q62+R62+S62+T62+U62+V62</f>
        <v>0</v>
      </c>
      <c r="Z62" s="142">
        <f>Y62-I62</f>
        <v>0</v>
      </c>
      <c r="AA62" s="598"/>
      <c r="AB62" s="598"/>
      <c r="AC62" s="68"/>
    </row>
    <row r="63" spans="2:29" ht="13.5" thickBot="1" x14ac:dyDescent="0.25">
      <c r="B63" s="67"/>
      <c r="C63" s="59"/>
      <c r="D63" s="59"/>
      <c r="E63" s="60"/>
      <c r="F63" s="59"/>
      <c r="G63" s="59"/>
      <c r="H63" s="59"/>
      <c r="I63" s="59"/>
      <c r="J63" s="59"/>
      <c r="K63" s="59"/>
      <c r="L63" s="59"/>
      <c r="M63" s="59"/>
      <c r="N63" s="59"/>
      <c r="O63" s="59"/>
      <c r="P63" s="59"/>
      <c r="Q63" s="59"/>
      <c r="R63" s="59"/>
      <c r="S63" s="59"/>
      <c r="T63" s="59"/>
      <c r="U63" s="59"/>
      <c r="V63" s="59"/>
      <c r="W63" s="59"/>
      <c r="X63" s="59"/>
      <c r="Y63" s="59"/>
      <c r="Z63" s="59"/>
      <c r="AA63" s="59"/>
      <c r="AB63" s="59"/>
      <c r="AC63" s="68"/>
    </row>
    <row r="64" spans="2:29" x14ac:dyDescent="0.2">
      <c r="B64" s="67"/>
      <c r="C64" s="599" t="s">
        <v>1041</v>
      </c>
      <c r="D64" s="43"/>
      <c r="E64" s="45" t="s">
        <v>691</v>
      </c>
      <c r="F64" s="44">
        <f>VLOOKUP($C$1,Daten[],28,0)</f>
        <v>0</v>
      </c>
      <c r="G64" s="129">
        <v>0</v>
      </c>
      <c r="H64" s="129">
        <v>0</v>
      </c>
      <c r="I64" s="44">
        <f>G64+H64</f>
        <v>0</v>
      </c>
      <c r="J64" s="43" t="str">
        <f>IF(I64&gt;F64,"+"&amp;(I64-F64)&amp;" BIP(s)","")</f>
        <v/>
      </c>
      <c r="K64" s="43"/>
      <c r="L64" s="98" t="s">
        <v>512</v>
      </c>
      <c r="M64" s="98"/>
      <c r="N64" s="98" t="s">
        <v>347</v>
      </c>
      <c r="O64" s="98"/>
      <c r="P64" s="98" t="s">
        <v>367</v>
      </c>
      <c r="Q64" s="98"/>
      <c r="R64" s="98" t="s">
        <v>345</v>
      </c>
      <c r="S64" s="98"/>
      <c r="T64" s="98" t="s">
        <v>346</v>
      </c>
      <c r="U64" s="98" t="s">
        <v>669</v>
      </c>
      <c r="V64" s="98" t="s">
        <v>935</v>
      </c>
      <c r="W64" s="90"/>
      <c r="X64" s="90"/>
      <c r="Y64" s="43"/>
      <c r="Z64" s="61"/>
      <c r="AA64" s="596">
        <f>IF(Z66&lt;0,Z66*-1,0)</f>
        <v>0</v>
      </c>
      <c r="AB64" s="596">
        <f>IF(Z66&gt;0,Z66,0)</f>
        <v>0</v>
      </c>
      <c r="AC64" s="68"/>
    </row>
    <row r="65" spans="2:29" x14ac:dyDescent="0.2">
      <c r="B65" s="67"/>
      <c r="C65" s="600"/>
      <c r="D65" s="59"/>
      <c r="E65" s="60" t="s">
        <v>350</v>
      </c>
      <c r="F65" s="37">
        <f>IFERROR(F64*18,"")</f>
        <v>0</v>
      </c>
      <c r="G65" s="441">
        <v>0</v>
      </c>
      <c r="H65" s="441">
        <v>0</v>
      </c>
      <c r="I65" s="37">
        <f>G65+H65</f>
        <v>0</v>
      </c>
      <c r="J65" s="59"/>
      <c r="K65" s="60" t="s">
        <v>511</v>
      </c>
      <c r="L65" s="139">
        <f>MAX(0,K66)</f>
        <v>0</v>
      </c>
      <c r="M65" s="42"/>
      <c r="N65" s="131">
        <v>0</v>
      </c>
      <c r="O65" s="42"/>
      <c r="P65" s="131">
        <v>0</v>
      </c>
      <c r="Q65" s="42"/>
      <c r="R65" s="131">
        <v>0</v>
      </c>
      <c r="S65" s="42"/>
      <c r="T65" s="131">
        <v>0</v>
      </c>
      <c r="U65" s="131">
        <v>0</v>
      </c>
      <c r="V65" s="131">
        <v>0</v>
      </c>
      <c r="W65" s="42"/>
      <c r="X65" s="266">
        <f>N65+P65+R65+T65</f>
        <v>0</v>
      </c>
      <c r="Y65" s="42"/>
      <c r="Z65" s="64"/>
      <c r="AA65" s="597"/>
      <c r="AB65" s="597"/>
      <c r="AC65" s="68"/>
    </row>
    <row r="66" spans="2:29" ht="13.5" thickBot="1" x14ac:dyDescent="0.25">
      <c r="B66" s="67"/>
      <c r="C66" s="601"/>
      <c r="D66" s="382" t="s">
        <v>383</v>
      </c>
      <c r="E66" s="49" t="s">
        <v>114</v>
      </c>
      <c r="F66" s="47">
        <f>VLOOKUP($C$1,Daten[],29,0)</f>
        <v>0</v>
      </c>
      <c r="G66" s="130">
        <v>0</v>
      </c>
      <c r="H66" s="130">
        <v>0</v>
      </c>
      <c r="I66" s="141">
        <f>G66+H66</f>
        <v>0</v>
      </c>
      <c r="J66" s="137"/>
      <c r="K66" s="138">
        <f>F66-I66</f>
        <v>0</v>
      </c>
      <c r="L66" s="46"/>
      <c r="M66" s="48"/>
      <c r="N66" s="47">
        <f>N65*-1</f>
        <v>0</v>
      </c>
      <c r="O66" s="48"/>
      <c r="P66" s="47">
        <f>P65*-1</f>
        <v>0</v>
      </c>
      <c r="Q66" s="48"/>
      <c r="R66" s="47">
        <f>R65*-1</f>
        <v>0</v>
      </c>
      <c r="S66" s="48"/>
      <c r="T66" s="47">
        <f>T65*-1</f>
        <v>0</v>
      </c>
      <c r="U66" s="47">
        <f>U65*-1</f>
        <v>0</v>
      </c>
      <c r="V66" s="47">
        <f>V65*-1</f>
        <v>0</v>
      </c>
      <c r="W66" s="48"/>
      <c r="X66" s="48"/>
      <c r="Y66" s="141">
        <f>F66+M66+N66+O66+P66+Q66+R66+S66+T66+U66+V66</f>
        <v>0</v>
      </c>
      <c r="Z66" s="142">
        <f>Y66-I66</f>
        <v>0</v>
      </c>
      <c r="AA66" s="598"/>
      <c r="AB66" s="598"/>
      <c r="AC66" s="68"/>
    </row>
    <row r="67" spans="2:29" ht="13.5" thickBot="1" x14ac:dyDescent="0.25">
      <c r="B67" s="67"/>
      <c r="C67" s="59"/>
      <c r="D67" s="59"/>
      <c r="E67" s="60"/>
      <c r="F67" s="59"/>
      <c r="G67" s="59"/>
      <c r="H67" s="59"/>
      <c r="I67" s="59"/>
      <c r="J67" s="59"/>
      <c r="K67" s="59"/>
      <c r="L67" s="59"/>
      <c r="M67" s="59"/>
      <c r="N67" s="59"/>
      <c r="O67" s="59"/>
      <c r="P67" s="59"/>
      <c r="Q67" s="59"/>
      <c r="R67" s="59"/>
      <c r="S67" s="59"/>
      <c r="T67" s="59"/>
      <c r="U67" s="59"/>
      <c r="V67" s="59"/>
      <c r="W67" s="59"/>
      <c r="X67" s="59"/>
      <c r="Y67" s="59"/>
      <c r="Z67" s="59"/>
      <c r="AA67" s="59"/>
      <c r="AB67" s="59"/>
      <c r="AC67" s="68"/>
    </row>
    <row r="68" spans="2:29" x14ac:dyDescent="0.2">
      <c r="B68" s="67"/>
      <c r="C68" s="599" t="s">
        <v>1042</v>
      </c>
      <c r="D68" s="43"/>
      <c r="E68" s="45" t="s">
        <v>691</v>
      </c>
      <c r="F68" s="44">
        <f>VLOOKUP($C$1,Daten[],30,0)</f>
        <v>0</v>
      </c>
      <c r="G68" s="129">
        <v>0</v>
      </c>
      <c r="H68" s="129">
        <v>0</v>
      </c>
      <c r="I68" s="44">
        <f>G68+H68</f>
        <v>0</v>
      </c>
      <c r="J68" s="43" t="str">
        <f>IF(I68&gt;F68,"+"&amp;(I68-F68)&amp;" BIP(s)","")</f>
        <v/>
      </c>
      <c r="K68" s="43"/>
      <c r="L68" s="98" t="s">
        <v>512</v>
      </c>
      <c r="M68" s="98"/>
      <c r="N68" s="98" t="s">
        <v>347</v>
      </c>
      <c r="O68" s="98"/>
      <c r="P68" s="98" t="s">
        <v>367</v>
      </c>
      <c r="Q68" s="98"/>
      <c r="R68" s="98" t="s">
        <v>345</v>
      </c>
      <c r="S68" s="98"/>
      <c r="T68" s="98" t="s">
        <v>346</v>
      </c>
      <c r="U68" s="98" t="s">
        <v>669</v>
      </c>
      <c r="V68" s="98" t="s">
        <v>935</v>
      </c>
      <c r="W68" s="90"/>
      <c r="X68" s="90"/>
      <c r="Y68" s="43"/>
      <c r="Z68" s="61"/>
      <c r="AA68" s="596">
        <f>IF(Z70&lt;0,Z70*-1,0)</f>
        <v>0</v>
      </c>
      <c r="AB68" s="596">
        <f>IF(Z70&gt;0,Z70,0)</f>
        <v>0</v>
      </c>
      <c r="AC68" s="68"/>
    </row>
    <row r="69" spans="2:29" x14ac:dyDescent="0.2">
      <c r="B69" s="67"/>
      <c r="C69" s="600"/>
      <c r="D69" s="59"/>
      <c r="E69" s="60" t="s">
        <v>350</v>
      </c>
      <c r="F69" s="37">
        <f>IFERROR(F68*19,"")</f>
        <v>0</v>
      </c>
      <c r="G69" s="441">
        <v>0</v>
      </c>
      <c r="H69" s="441">
        <v>0</v>
      </c>
      <c r="I69" s="37">
        <f>G69+H69</f>
        <v>0</v>
      </c>
      <c r="J69" s="59"/>
      <c r="K69" s="60" t="s">
        <v>511</v>
      </c>
      <c r="L69" s="139">
        <f>MAX(0,K70)</f>
        <v>0</v>
      </c>
      <c r="M69" s="42"/>
      <c r="N69" s="131">
        <v>0</v>
      </c>
      <c r="O69" s="42"/>
      <c r="P69" s="131">
        <v>0</v>
      </c>
      <c r="Q69" s="42"/>
      <c r="R69" s="131">
        <v>0</v>
      </c>
      <c r="S69" s="42"/>
      <c r="T69" s="131">
        <v>0</v>
      </c>
      <c r="U69" s="131">
        <v>0</v>
      </c>
      <c r="V69" s="131">
        <v>0</v>
      </c>
      <c r="W69" s="42"/>
      <c r="X69" s="266">
        <f>N69+P69+R69+T69</f>
        <v>0</v>
      </c>
      <c r="Y69" s="42"/>
      <c r="Z69" s="64"/>
      <c r="AA69" s="597"/>
      <c r="AB69" s="597"/>
      <c r="AC69" s="68"/>
    </row>
    <row r="70" spans="2:29" ht="13.5" thickBot="1" x14ac:dyDescent="0.25">
      <c r="B70" s="67"/>
      <c r="C70" s="601"/>
      <c r="D70" s="382" t="s">
        <v>383</v>
      </c>
      <c r="E70" s="49" t="s">
        <v>114</v>
      </c>
      <c r="F70" s="47">
        <f>VLOOKUP($C$1,Daten[],31,0)</f>
        <v>0</v>
      </c>
      <c r="G70" s="130">
        <v>0</v>
      </c>
      <c r="H70" s="130">
        <v>0</v>
      </c>
      <c r="I70" s="141">
        <f>G70+H70</f>
        <v>0</v>
      </c>
      <c r="J70" s="137"/>
      <c r="K70" s="138">
        <f>F70-I70</f>
        <v>0</v>
      </c>
      <c r="L70" s="46"/>
      <c r="M70" s="48"/>
      <c r="N70" s="47">
        <f>N69*-1</f>
        <v>0</v>
      </c>
      <c r="O70" s="48"/>
      <c r="P70" s="47">
        <f>P69*-1</f>
        <v>0</v>
      </c>
      <c r="Q70" s="48"/>
      <c r="R70" s="47">
        <f>R69*-1</f>
        <v>0</v>
      </c>
      <c r="S70" s="48"/>
      <c r="T70" s="47">
        <f>T69*-1</f>
        <v>0</v>
      </c>
      <c r="U70" s="47">
        <f>U69*-1</f>
        <v>0</v>
      </c>
      <c r="V70" s="47">
        <f>V69*-1</f>
        <v>0</v>
      </c>
      <c r="W70" s="48"/>
      <c r="X70" s="48"/>
      <c r="Y70" s="141">
        <f>F70+M70+N70+O70+P70+Q70+R70+S70+T70+U70+V70</f>
        <v>0</v>
      </c>
      <c r="Z70" s="142">
        <f>Y70-I70</f>
        <v>0</v>
      </c>
      <c r="AA70" s="598"/>
      <c r="AB70" s="598"/>
      <c r="AC70" s="68"/>
    </row>
    <row r="71" spans="2:29" ht="13.5" thickBot="1" x14ac:dyDescent="0.25">
      <c r="B71" s="67"/>
      <c r="C71" s="59"/>
      <c r="D71" s="59"/>
      <c r="E71" s="60"/>
      <c r="F71" s="59"/>
      <c r="G71" s="59"/>
      <c r="H71" s="59"/>
      <c r="I71" s="59"/>
      <c r="J71" s="59"/>
      <c r="K71" s="59"/>
      <c r="L71" s="59"/>
      <c r="M71" s="59"/>
      <c r="N71" s="59"/>
      <c r="O71" s="59"/>
      <c r="P71" s="59"/>
      <c r="Q71" s="59"/>
      <c r="R71" s="59"/>
      <c r="S71" s="59"/>
      <c r="T71" s="59"/>
      <c r="U71" s="59"/>
      <c r="V71" s="59"/>
      <c r="W71" s="59"/>
      <c r="X71" s="59"/>
      <c r="Y71" s="59"/>
      <c r="Z71" s="59"/>
      <c r="AA71" s="59"/>
      <c r="AB71" s="59"/>
      <c r="AC71" s="68"/>
    </row>
    <row r="72" spans="2:29" x14ac:dyDescent="0.2">
      <c r="B72" s="67"/>
      <c r="C72" s="599" t="s">
        <v>917</v>
      </c>
      <c r="D72" s="43"/>
      <c r="E72" s="45" t="s">
        <v>691</v>
      </c>
      <c r="F72" s="44">
        <f>VLOOKUP($C$1,Daten[],32,0)</f>
        <v>0</v>
      </c>
      <c r="G72" s="129">
        <v>0</v>
      </c>
      <c r="H72" s="129">
        <v>0</v>
      </c>
      <c r="I72" s="44">
        <f>G72+H72</f>
        <v>0</v>
      </c>
      <c r="J72" s="43" t="str">
        <f>IF(I72&gt;F72,"+"&amp;(I72-F72)&amp;" BIP(s)","")</f>
        <v/>
      </c>
      <c r="K72" s="43"/>
      <c r="L72" s="98" t="s">
        <v>512</v>
      </c>
      <c r="M72" s="98"/>
      <c r="N72" s="98" t="s">
        <v>347</v>
      </c>
      <c r="O72" s="98"/>
      <c r="P72" s="98" t="s">
        <v>367</v>
      </c>
      <c r="Q72" s="98"/>
      <c r="R72" s="98" t="s">
        <v>345</v>
      </c>
      <c r="S72" s="98"/>
      <c r="T72" s="98" t="s">
        <v>346</v>
      </c>
      <c r="U72" s="98" t="s">
        <v>669</v>
      </c>
      <c r="V72" s="98" t="s">
        <v>935</v>
      </c>
      <c r="W72" s="90"/>
      <c r="X72" s="90"/>
      <c r="Y72" s="43"/>
      <c r="Z72" s="61"/>
      <c r="AA72" s="596">
        <f>IF(Z74&lt;0,Z74*-1,0)</f>
        <v>0</v>
      </c>
      <c r="AB72" s="596">
        <f>IF(Z74&gt;0,Z74,0)</f>
        <v>0</v>
      </c>
      <c r="AC72" s="68"/>
    </row>
    <row r="73" spans="2:29" x14ac:dyDescent="0.2">
      <c r="B73" s="67"/>
      <c r="C73" s="600"/>
      <c r="D73" s="59"/>
      <c r="E73" s="60" t="s">
        <v>350</v>
      </c>
      <c r="F73" s="37">
        <f>IFERROR(F72*20,"")</f>
        <v>0</v>
      </c>
      <c r="G73" s="441">
        <v>0</v>
      </c>
      <c r="H73" s="441">
        <v>0</v>
      </c>
      <c r="I73" s="37">
        <f>G73+H73</f>
        <v>0</v>
      </c>
      <c r="J73" s="59"/>
      <c r="K73" s="60" t="s">
        <v>511</v>
      </c>
      <c r="L73" s="139">
        <f>MAX(0,K74)</f>
        <v>0</v>
      </c>
      <c r="M73" s="42"/>
      <c r="N73" s="131">
        <v>0</v>
      </c>
      <c r="O73" s="42"/>
      <c r="P73" s="131">
        <v>0</v>
      </c>
      <c r="Q73" s="42"/>
      <c r="R73" s="131">
        <v>0</v>
      </c>
      <c r="S73" s="42"/>
      <c r="T73" s="131">
        <v>0</v>
      </c>
      <c r="U73" s="131">
        <v>0</v>
      </c>
      <c r="V73" s="131">
        <v>0</v>
      </c>
      <c r="W73" s="42"/>
      <c r="X73" s="266">
        <f>N73+P73+R73+T73</f>
        <v>0</v>
      </c>
      <c r="Y73" s="42"/>
      <c r="Z73" s="64"/>
      <c r="AA73" s="597"/>
      <c r="AB73" s="597"/>
      <c r="AC73" s="68"/>
    </row>
    <row r="74" spans="2:29" ht="13.5" thickBot="1" x14ac:dyDescent="0.25">
      <c r="B74" s="67"/>
      <c r="C74" s="601"/>
      <c r="D74" s="382" t="s">
        <v>383</v>
      </c>
      <c r="E74" s="49" t="s">
        <v>114</v>
      </c>
      <c r="F74" s="47">
        <f>VLOOKUP($C$1,Daten[],33,0)</f>
        <v>0</v>
      </c>
      <c r="G74" s="130">
        <v>0</v>
      </c>
      <c r="H74" s="130">
        <v>0</v>
      </c>
      <c r="I74" s="141">
        <f>G74+H74</f>
        <v>0</v>
      </c>
      <c r="J74" s="137"/>
      <c r="K74" s="138">
        <f>F74-I74</f>
        <v>0</v>
      </c>
      <c r="L74" s="46"/>
      <c r="M74" s="48"/>
      <c r="N74" s="47">
        <f>N73*-1</f>
        <v>0</v>
      </c>
      <c r="O74" s="48"/>
      <c r="P74" s="47">
        <f>P73*-1</f>
        <v>0</v>
      </c>
      <c r="Q74" s="48"/>
      <c r="R74" s="47">
        <f>R73*-1</f>
        <v>0</v>
      </c>
      <c r="S74" s="48"/>
      <c r="T74" s="47">
        <f>T73*-1</f>
        <v>0</v>
      </c>
      <c r="U74" s="47">
        <f>U73*-1</f>
        <v>0</v>
      </c>
      <c r="V74" s="47">
        <f>V73*-1</f>
        <v>0</v>
      </c>
      <c r="W74" s="48"/>
      <c r="X74" s="48"/>
      <c r="Y74" s="141">
        <f>F74+M74+N74+O74+P74+Q74+R74+S74+T74+U74+V74</f>
        <v>0</v>
      </c>
      <c r="Z74" s="142">
        <f>Y74-I74</f>
        <v>0</v>
      </c>
      <c r="AA74" s="598"/>
      <c r="AB74" s="598"/>
      <c r="AC74" s="68"/>
    </row>
    <row r="75" spans="2:29" hidden="1" x14ac:dyDescent="0.2">
      <c r="B75" s="67"/>
      <c r="C75" s="59"/>
      <c r="D75" s="59"/>
      <c r="E75" s="60"/>
      <c r="F75" s="59"/>
      <c r="G75" s="59"/>
      <c r="H75" s="59"/>
      <c r="I75" s="59"/>
      <c r="J75" s="59"/>
      <c r="K75" s="59"/>
      <c r="L75" s="59"/>
      <c r="M75" s="59"/>
      <c r="N75" s="59"/>
      <c r="O75" s="59"/>
      <c r="P75" s="59"/>
      <c r="Q75" s="59"/>
      <c r="R75" s="59"/>
      <c r="S75" s="59"/>
      <c r="T75" s="59"/>
      <c r="U75" s="59"/>
      <c r="V75" s="59"/>
      <c r="W75" s="59"/>
      <c r="X75" s="59"/>
      <c r="Y75" s="59"/>
      <c r="Z75" s="59"/>
      <c r="AA75" s="59"/>
      <c r="AB75" s="59"/>
      <c r="AC75" s="68"/>
    </row>
    <row r="76" spans="2:29" hidden="1" x14ac:dyDescent="0.2">
      <c r="B76" s="67"/>
      <c r="C76" s="615" t="s">
        <v>692</v>
      </c>
      <c r="D76" s="383"/>
      <c r="E76" s="384" t="s">
        <v>691</v>
      </c>
      <c r="F76" s="44">
        <f>F52+F56+F60+F64+F68+F72</f>
        <v>0</v>
      </c>
      <c r="G76" s="129">
        <f t="shared" ref="G76:H77" si="10">G52+G56+G60+G64+G68+G72</f>
        <v>0</v>
      </c>
      <c r="H76" s="129">
        <f t="shared" si="10"/>
        <v>0</v>
      </c>
      <c r="I76" s="44">
        <f>G76+H76</f>
        <v>0</v>
      </c>
      <c r="J76" s="43" t="str">
        <f>IF(I76&gt;F76,"+"&amp;(I76-F76)&amp;" BIP(s)","")</f>
        <v/>
      </c>
      <c r="K76" s="383"/>
      <c r="L76" s="385" t="s">
        <v>512</v>
      </c>
      <c r="M76" s="385"/>
      <c r="N76" s="385" t="s">
        <v>347</v>
      </c>
      <c r="O76" s="385"/>
      <c r="P76" s="385" t="s">
        <v>367</v>
      </c>
      <c r="Q76" s="385"/>
      <c r="R76" s="385" t="s">
        <v>345</v>
      </c>
      <c r="S76" s="385"/>
      <c r="T76" s="385" t="s">
        <v>346</v>
      </c>
      <c r="U76" s="385" t="s">
        <v>669</v>
      </c>
      <c r="V76" s="98" t="s">
        <v>935</v>
      </c>
      <c r="W76" s="386"/>
      <c r="X76" s="386"/>
      <c r="Y76" s="383"/>
      <c r="Z76" s="387"/>
      <c r="AA76" s="398"/>
      <c r="AB76" s="612" t="str">
        <f>IF(Z78&gt;0,Z78,"")</f>
        <v/>
      </c>
      <c r="AC76" s="68"/>
    </row>
    <row r="77" spans="2:29" hidden="1" x14ac:dyDescent="0.2">
      <c r="B77" s="67"/>
      <c r="C77" s="616"/>
      <c r="D77" s="59"/>
      <c r="E77" s="60" t="s">
        <v>350</v>
      </c>
      <c r="F77" s="37">
        <f>F53+F57+F61+F65+F69+F73</f>
        <v>0</v>
      </c>
      <c r="G77" s="441">
        <f t="shared" si="10"/>
        <v>0</v>
      </c>
      <c r="H77" s="441">
        <f t="shared" si="10"/>
        <v>0</v>
      </c>
      <c r="I77" s="37">
        <f>G77+H77</f>
        <v>0</v>
      </c>
      <c r="J77" s="59"/>
      <c r="K77" s="60" t="s">
        <v>511</v>
      </c>
      <c r="L77" s="139">
        <f>MAX(0,K78)</f>
        <v>0</v>
      </c>
      <c r="M77" s="42"/>
      <c r="N77" s="443">
        <f>N53+N57+N61+N65+N69+N73</f>
        <v>0</v>
      </c>
      <c r="O77" s="42"/>
      <c r="P77" s="443">
        <f>P53+P57+P61+P65+P69+P73</f>
        <v>0</v>
      </c>
      <c r="Q77" s="42"/>
      <c r="R77" s="443">
        <f>R53+R57+R61+R65+R69+R73</f>
        <v>0</v>
      </c>
      <c r="S77" s="42"/>
      <c r="T77" s="443">
        <f>T53+T57+T61+T65+T69+T73</f>
        <v>0</v>
      </c>
      <c r="U77" s="443">
        <f>U53+U57+U61+U65+U69+U73</f>
        <v>0</v>
      </c>
      <c r="V77" s="443">
        <f>V53+V57+V61+V65+V69+V73</f>
        <v>0</v>
      </c>
      <c r="W77" s="42"/>
      <c r="X77" s="266">
        <f>N77+P77+R77+T77</f>
        <v>0</v>
      </c>
      <c r="Y77" s="42"/>
      <c r="Z77" s="388"/>
      <c r="AA77" s="399"/>
      <c r="AB77" s="613"/>
      <c r="AC77" s="68"/>
    </row>
    <row r="78" spans="2:29" ht="13.5" hidden="1" thickBot="1" x14ac:dyDescent="0.25">
      <c r="B78" s="67"/>
      <c r="C78" s="617"/>
      <c r="D78" s="389"/>
      <c r="E78" s="390" t="s">
        <v>114</v>
      </c>
      <c r="F78" s="47">
        <f>F54+F58+F62+F66+F70+F74</f>
        <v>0</v>
      </c>
      <c r="G78" s="130">
        <f>G54+G58+G62+G66+G70+G74</f>
        <v>0</v>
      </c>
      <c r="H78" s="130">
        <f>H54+H58+H62+H66+H70+H74</f>
        <v>0</v>
      </c>
      <c r="I78" s="141">
        <f>G78+H78</f>
        <v>0</v>
      </c>
      <c r="J78" s="393"/>
      <c r="K78" s="394">
        <f>F78-I78</f>
        <v>0</v>
      </c>
      <c r="L78" s="395"/>
      <c r="M78" s="396"/>
      <c r="N78" s="391">
        <f>N77*-1</f>
        <v>0</v>
      </c>
      <c r="O78" s="396"/>
      <c r="P78" s="391">
        <f>P77*-1</f>
        <v>0</v>
      </c>
      <c r="Q78" s="396"/>
      <c r="R78" s="391">
        <f>R77*-1</f>
        <v>0</v>
      </c>
      <c r="S78" s="396"/>
      <c r="T78" s="391">
        <f>T77*-1</f>
        <v>0</v>
      </c>
      <c r="U78" s="391">
        <f>U77*-1</f>
        <v>0</v>
      </c>
      <c r="V78" s="391">
        <f>V77*-1</f>
        <v>0</v>
      </c>
      <c r="W78" s="396"/>
      <c r="X78" s="396"/>
      <c r="Y78" s="392">
        <f>F78+M78+N78+O78+P78+Q78+R78+S78+T78+U78+W78</f>
        <v>0</v>
      </c>
      <c r="Z78" s="397">
        <f>Y78-I78</f>
        <v>0</v>
      </c>
      <c r="AA78" s="400"/>
      <c r="AB78" s="614"/>
      <c r="AC78" s="68"/>
    </row>
    <row r="79" spans="2:29" ht="7.5" customHeight="1" thickBot="1" x14ac:dyDescent="0.25">
      <c r="B79" s="71"/>
      <c r="C79" s="72"/>
      <c r="D79" s="72"/>
      <c r="E79" s="73"/>
      <c r="F79" s="72"/>
      <c r="G79" s="72"/>
      <c r="H79" s="72"/>
      <c r="I79" s="72"/>
      <c r="J79" s="72"/>
      <c r="K79" s="72"/>
      <c r="L79" s="72"/>
      <c r="M79" s="72"/>
      <c r="N79" s="72"/>
      <c r="O79" s="72"/>
      <c r="P79" s="72"/>
      <c r="Q79" s="72"/>
      <c r="R79" s="72"/>
      <c r="S79" s="72"/>
      <c r="T79" s="72"/>
      <c r="U79" s="72"/>
      <c r="V79" s="72"/>
      <c r="W79" s="72"/>
      <c r="X79" s="72"/>
      <c r="Y79" s="72"/>
      <c r="Z79" s="72"/>
      <c r="AA79" s="72"/>
      <c r="AB79" s="72"/>
      <c r="AC79" s="75"/>
    </row>
    <row r="80" spans="2:29" ht="19.5" customHeight="1" thickTop="1" x14ac:dyDescent="0.2">
      <c r="B80" s="59"/>
      <c r="C80" s="59"/>
      <c r="D80" s="59"/>
      <c r="E80" s="60"/>
      <c r="F80" s="59"/>
      <c r="G80" s="59"/>
      <c r="H80" s="59"/>
      <c r="I80" s="59"/>
      <c r="J80" s="59"/>
      <c r="K80" s="59"/>
      <c r="L80" s="59"/>
      <c r="M80" s="59"/>
      <c r="N80" s="59"/>
      <c r="O80" s="59"/>
      <c r="P80" s="59"/>
      <c r="Q80" s="59"/>
      <c r="R80" s="59"/>
      <c r="S80" s="59"/>
      <c r="T80" s="59"/>
      <c r="U80" s="59"/>
      <c r="V80" s="59"/>
      <c r="W80" s="59"/>
      <c r="X80" s="59"/>
      <c r="Y80" s="59"/>
      <c r="Z80" s="59"/>
      <c r="AA80" s="59"/>
      <c r="AB80" s="59"/>
      <c r="AC80" s="59"/>
    </row>
    <row r="81" spans="2:29" ht="43.5" customHeight="1" x14ac:dyDescent="0.2">
      <c r="B81" s="59"/>
      <c r="C81" s="619" t="str">
        <f>IF(OR(I53&gt;F53,I57&gt;F57,I61&gt;F61,I65&gt;F65,I69&gt;F69),"Bitte geben Sie die  [Blended Intensive Programme ID:] lt. BM an, für die eine Änderung der Teilnehmer/innezahl beantragt wird:","")</f>
        <v/>
      </c>
      <c r="D81" s="619"/>
      <c r="E81" s="619"/>
      <c r="F81" s="618"/>
      <c r="G81" s="618"/>
      <c r="H81" s="59"/>
      <c r="I81" s="59"/>
      <c r="J81" s="59"/>
      <c r="K81" s="59"/>
      <c r="L81" s="59"/>
      <c r="M81" s="59"/>
      <c r="N81" s="59"/>
      <c r="O81" s="59"/>
      <c r="P81" s="59"/>
      <c r="Q81" s="59"/>
      <c r="R81" s="59"/>
      <c r="S81" s="59"/>
      <c r="T81" s="59"/>
      <c r="U81" s="59"/>
      <c r="V81" s="59"/>
      <c r="W81" s="59"/>
      <c r="X81" s="59"/>
      <c r="Y81" s="59"/>
      <c r="Z81" s="59"/>
      <c r="AA81" s="59"/>
      <c r="AB81" s="59"/>
      <c r="AC81" s="59"/>
    </row>
    <row r="82" spans="2:29" ht="21" customHeight="1" x14ac:dyDescent="0.2"/>
    <row r="83" spans="2:29" ht="42" customHeight="1" x14ac:dyDescent="0.2">
      <c r="F83" s="122" t="s">
        <v>387</v>
      </c>
      <c r="I83" s="152" t="s">
        <v>2</v>
      </c>
    </row>
    <row r="84" spans="2:29" x14ac:dyDescent="0.2">
      <c r="C84" s="22" t="s">
        <v>513</v>
      </c>
      <c r="E84" s="41" t="s">
        <v>114</v>
      </c>
      <c r="F84" s="31">
        <f>F7+F12+F22+F27</f>
        <v>0</v>
      </c>
      <c r="I84" s="31">
        <f>I7+I12+I22+I27</f>
        <v>0</v>
      </c>
    </row>
    <row r="85" spans="2:29" x14ac:dyDescent="0.2">
      <c r="C85" s="22" t="s">
        <v>1037</v>
      </c>
      <c r="E85" s="41" t="s">
        <v>114</v>
      </c>
      <c r="F85" s="31">
        <f>F35</f>
        <v>0</v>
      </c>
      <c r="I85" s="31">
        <f>I35</f>
        <v>0</v>
      </c>
    </row>
    <row r="86" spans="2:29" x14ac:dyDescent="0.2">
      <c r="C86" s="22" t="s">
        <v>1034</v>
      </c>
      <c r="E86" s="41" t="s">
        <v>114</v>
      </c>
      <c r="F86" s="31">
        <f>F41</f>
        <v>0</v>
      </c>
      <c r="I86" s="31">
        <f>I43</f>
        <v>0</v>
      </c>
    </row>
    <row r="87" spans="2:29" x14ac:dyDescent="0.2">
      <c r="C87" s="22" t="s">
        <v>932</v>
      </c>
      <c r="E87" s="41" t="s">
        <v>114</v>
      </c>
      <c r="F87" s="31">
        <f>F46</f>
        <v>0</v>
      </c>
      <c r="I87" s="31">
        <f>I47</f>
        <v>0</v>
      </c>
    </row>
    <row r="88" spans="2:29" x14ac:dyDescent="0.2">
      <c r="C88" s="22" t="s">
        <v>383</v>
      </c>
      <c r="E88" s="41" t="s">
        <v>114</v>
      </c>
      <c r="F88" s="31">
        <f>F54+F58+F62+F66+F70+F74</f>
        <v>0</v>
      </c>
      <c r="I88" s="31">
        <f>I54+I58+I62+I66+I70+I74</f>
        <v>0</v>
      </c>
      <c r="N88" s="41"/>
    </row>
    <row r="89" spans="2:29" x14ac:dyDescent="0.2">
      <c r="C89" s="22" t="s">
        <v>115</v>
      </c>
      <c r="E89" s="41" t="s">
        <v>114</v>
      </c>
      <c r="F89" s="31">
        <f>SUM(F84:F88)</f>
        <v>0</v>
      </c>
      <c r="I89" s="31">
        <f>SUM(I84:I88)</f>
        <v>0</v>
      </c>
      <c r="M89" s="31"/>
      <c r="N89" s="134"/>
      <c r="Y89" s="31">
        <f>Y7+Y12+Y22+Y27+Y42+Y47+Y54+Y58+Y62+Y66+Y70+Y74+Y36</f>
        <v>0</v>
      </c>
      <c r="Z89" s="31">
        <f>Z7+Z12+Z22+Z27+Z42+Z47+Z54+Z58+Z62+Z66+Z70+Z36+Z74</f>
        <v>0</v>
      </c>
      <c r="AA89" s="31">
        <f>AA4+AA9+AA19+AA24+AA40+AA52+AA56+AA60+AA64+AA68+AA72</f>
        <v>0</v>
      </c>
      <c r="AB89" s="31">
        <f>AB4+AB9+AB19+AB24+AB34+AB40+AB45+AB52+AB56+AB60+AB64+AB68+AB72</f>
        <v>0</v>
      </c>
    </row>
    <row r="91" spans="2:29" x14ac:dyDescent="0.2">
      <c r="F91" s="31"/>
    </row>
    <row r="92" spans="2:29" x14ac:dyDescent="0.2">
      <c r="F92" s="31"/>
      <c r="I92" s="31"/>
      <c r="N92" s="31"/>
    </row>
  </sheetData>
  <sheetProtection algorithmName="SHA-512" hashValue="oEff/K5u3CZh6Ci3UwXe8Co1S5PsZkuV2HHB4i/FBTkaGu7WStXAOw9z9gLdOUrkGEDS6Q6DbRpuZqv3LFl5bQ==" saltValue="rdF32NVl2tZSaN8PRxFhBg==" spinCount="100000" sheet="1" objects="1" scenarios="1"/>
  <mergeCells count="53">
    <mergeCell ref="F81:G81"/>
    <mergeCell ref="C81:E81"/>
    <mergeCell ref="AA45:AA48"/>
    <mergeCell ref="F1:J1"/>
    <mergeCell ref="M2:X2"/>
    <mergeCell ref="C1:E1"/>
    <mergeCell ref="G41:H42"/>
    <mergeCell ref="C4:C7"/>
    <mergeCell ref="C9:C12"/>
    <mergeCell ref="C14:C15"/>
    <mergeCell ref="C19:C22"/>
    <mergeCell ref="C24:C27"/>
    <mergeCell ref="C29:C30"/>
    <mergeCell ref="C34:C36"/>
    <mergeCell ref="C40:C43"/>
    <mergeCell ref="C52:C54"/>
    <mergeCell ref="AB72:AB74"/>
    <mergeCell ref="AB76:AB78"/>
    <mergeCell ref="C56:C58"/>
    <mergeCell ref="C60:C62"/>
    <mergeCell ref="C64:C66"/>
    <mergeCell ref="C68:C70"/>
    <mergeCell ref="C72:C74"/>
    <mergeCell ref="C76:C78"/>
    <mergeCell ref="AB56:AB58"/>
    <mergeCell ref="AB60:AB62"/>
    <mergeCell ref="AB64:AB66"/>
    <mergeCell ref="AB68:AB70"/>
    <mergeCell ref="AA64:AA66"/>
    <mergeCell ref="AA68:AA70"/>
    <mergeCell ref="AA72:AA74"/>
    <mergeCell ref="AA56:AA58"/>
    <mergeCell ref="AB4:AB7"/>
    <mergeCell ref="AB14:AB15"/>
    <mergeCell ref="AB19:AB22"/>
    <mergeCell ref="AA24:AA27"/>
    <mergeCell ref="AB24:AB27"/>
    <mergeCell ref="AA9:AA12"/>
    <mergeCell ref="AA14:AA15"/>
    <mergeCell ref="AB9:AB12"/>
    <mergeCell ref="AA4:AA7"/>
    <mergeCell ref="AA19:AA22"/>
    <mergeCell ref="AA60:AA62"/>
    <mergeCell ref="C45:C48"/>
    <mergeCell ref="AB34:AB36"/>
    <mergeCell ref="AA34:AA36"/>
    <mergeCell ref="AA29:AA30"/>
    <mergeCell ref="AB29:AB30"/>
    <mergeCell ref="AB52:AB54"/>
    <mergeCell ref="AB45:AB48"/>
    <mergeCell ref="AB40:AB43"/>
    <mergeCell ref="AA40:AA43"/>
    <mergeCell ref="AA52:AA54"/>
  </mergeCells>
  <conditionalFormatting sqref="T15">
    <cfRule type="expression" dxfId="251" priority="131">
      <formula>(T15*-1)&gt;($F$15*0.1)</formula>
    </cfRule>
  </conditionalFormatting>
  <conditionalFormatting sqref="T30">
    <cfRule type="expression" dxfId="250" priority="130">
      <formula>(T30*-1)&gt;($F$15*0.1)</formula>
    </cfRule>
  </conditionalFormatting>
  <conditionalFormatting sqref="P6 R6 T6:U6">
    <cfRule type="expression" dxfId="249" priority="122">
      <formula>$L$6&gt;0</formula>
    </cfRule>
  </conditionalFormatting>
  <conditionalFormatting sqref="N21 P21 T21:U21">
    <cfRule type="expression" dxfId="248" priority="115">
      <formula>$L$21&gt;0</formula>
    </cfRule>
  </conditionalFormatting>
  <conditionalFormatting sqref="N26 P26 R26 U26">
    <cfRule type="expression" dxfId="247" priority="112">
      <formula>$L$26&gt;0</formula>
    </cfRule>
  </conditionalFormatting>
  <conditionalFormatting sqref="N11 R11 T11:U11">
    <cfRule type="expression" dxfId="246" priority="109">
      <formula>$L$11&gt;0</formula>
    </cfRule>
  </conditionalFormatting>
  <conditionalFormatting sqref="I40">
    <cfRule type="cellIs" dxfId="245" priority="108" operator="lessThan">
      <formula>$F$40*0.9</formula>
    </cfRule>
  </conditionalFormatting>
  <conditionalFormatting sqref="AB4:AB7">
    <cfRule type="expression" dxfId="244" priority="107">
      <formula>"&lt;&gt;0"</formula>
    </cfRule>
  </conditionalFormatting>
  <conditionalFormatting sqref="AB9:AB12">
    <cfRule type="expression" dxfId="243" priority="106">
      <formula>OR(AB120&gt;0,AB120&lt;0)</formula>
    </cfRule>
  </conditionalFormatting>
  <conditionalFormatting sqref="U15:V15">
    <cfRule type="expression" dxfId="242" priority="104">
      <formula>(U15*-1)&gt;($F$15*0.1)</formula>
    </cfRule>
  </conditionalFormatting>
  <conditionalFormatting sqref="U30:V30">
    <cfRule type="expression" dxfId="241" priority="103">
      <formula>(U30*-1)&gt;($F$15*0.1)</formula>
    </cfRule>
  </conditionalFormatting>
  <conditionalFormatting sqref="U41">
    <cfRule type="expression" dxfId="240" priority="102">
      <formula>$L$41&gt;0</formula>
    </cfRule>
  </conditionalFormatting>
  <conditionalFormatting sqref="P57 R57 T57:U57">
    <cfRule type="expression" dxfId="239" priority="87">
      <formula>$L$57&gt;0</formula>
    </cfRule>
  </conditionalFormatting>
  <conditionalFormatting sqref="P61 R61 T61:U61">
    <cfRule type="expression" dxfId="238" priority="86">
      <formula>$L$61&gt;0</formula>
    </cfRule>
  </conditionalFormatting>
  <conditionalFormatting sqref="P65 R65 T65:U65">
    <cfRule type="expression" dxfId="237" priority="85">
      <formula>$L$65&gt;0</formula>
    </cfRule>
  </conditionalFormatting>
  <conditionalFormatting sqref="P69 R69 T69:U69 P73 R73 T73:U73">
    <cfRule type="expression" dxfId="236" priority="84">
      <formula>$L$69&gt;0</formula>
    </cfRule>
  </conditionalFormatting>
  <conditionalFormatting sqref="AB34:AB36">
    <cfRule type="cellIs" dxfId="235" priority="76" operator="equal">
      <formula>0</formula>
    </cfRule>
  </conditionalFormatting>
  <conditionalFormatting sqref="N77">
    <cfRule type="expression" dxfId="234" priority="67">
      <formula>$L$69&gt;0</formula>
    </cfRule>
  </conditionalFormatting>
  <conditionalFormatting sqref="G52:H54">
    <cfRule type="expression" dxfId="233" priority="66">
      <formula>$F$52&gt;0</formula>
    </cfRule>
  </conditionalFormatting>
  <conditionalFormatting sqref="G56:H58">
    <cfRule type="expression" dxfId="232" priority="65">
      <formula>$F$56&gt;0</formula>
    </cfRule>
  </conditionalFormatting>
  <conditionalFormatting sqref="G60:H62">
    <cfRule type="expression" dxfId="231" priority="64">
      <formula>$F$60&gt;0</formula>
    </cfRule>
  </conditionalFormatting>
  <conditionalFormatting sqref="G64:H66">
    <cfRule type="expression" dxfId="230" priority="63">
      <formula>$F$64&gt;0</formula>
    </cfRule>
  </conditionalFormatting>
  <conditionalFormatting sqref="G68:H70">
    <cfRule type="expression" dxfId="229" priority="62">
      <formula>$F$68&gt;0</formula>
    </cfRule>
  </conditionalFormatting>
  <conditionalFormatting sqref="G72:H74">
    <cfRule type="expression" dxfId="228" priority="61">
      <formula>$F$72&gt;0</formula>
    </cfRule>
  </conditionalFormatting>
  <conditionalFormatting sqref="G76:H78">
    <cfRule type="expression" dxfId="227" priority="60">
      <formula>$F$76&gt;0</formula>
    </cfRule>
  </conditionalFormatting>
  <conditionalFormatting sqref="V6">
    <cfRule type="expression" dxfId="226" priority="59">
      <formula>AND($L$6&gt;0,$I$34&gt;0,$I$35&gt;0)</formula>
    </cfRule>
  </conditionalFormatting>
  <conditionalFormatting sqref="V11">
    <cfRule type="expression" dxfId="225" priority="58">
      <formula>AND($L$11&gt;0,$I$34&gt;0,$I$35&gt;0)</formula>
    </cfRule>
  </conditionalFormatting>
  <conditionalFormatting sqref="V21">
    <cfRule type="expression" dxfId="224" priority="57">
      <formula>AND($L$21&gt;0,$I$34&gt;0,$I$35&gt;0)</formula>
    </cfRule>
  </conditionalFormatting>
  <conditionalFormatting sqref="V26">
    <cfRule type="expression" dxfId="223" priority="56">
      <formula>AND($L$26&gt;0,$I$34&gt;0,$I$35&gt;0)</formula>
    </cfRule>
  </conditionalFormatting>
  <conditionalFormatting sqref="N53 P53 R53 T53:U53 V53">
    <cfRule type="expression" dxfId="222" priority="54">
      <formula>$L$53&gt;0</formula>
    </cfRule>
  </conditionalFormatting>
  <conditionalFormatting sqref="N57 P57 R57 T57 U57 V57">
    <cfRule type="expression" dxfId="221" priority="53">
      <formula>$L$57&gt;0</formula>
    </cfRule>
  </conditionalFormatting>
  <conditionalFormatting sqref="N61 P61 R61 T61 U61 V61">
    <cfRule type="expression" dxfId="220" priority="52">
      <formula>$L$61&gt;0</formula>
    </cfRule>
  </conditionalFormatting>
  <conditionalFormatting sqref="N65 P65 R65 T65 U65 V65">
    <cfRule type="expression" dxfId="219" priority="51">
      <formula>$L$65&gt;0</formula>
    </cfRule>
  </conditionalFormatting>
  <conditionalFormatting sqref="N69 P69 R69 T69 U69 V69">
    <cfRule type="expression" dxfId="218" priority="50">
      <formula>$L$69&gt;0</formula>
    </cfRule>
  </conditionalFormatting>
  <conditionalFormatting sqref="N73 P73 R73 T73 U73 V73">
    <cfRule type="expression" dxfId="217" priority="49">
      <formula>$L$73&gt;0</formula>
    </cfRule>
  </conditionalFormatting>
  <conditionalFormatting sqref="P77">
    <cfRule type="expression" dxfId="216" priority="46">
      <formula>$L$69&gt;0</formula>
    </cfRule>
  </conditionalFormatting>
  <conditionalFormatting sqref="R77">
    <cfRule type="expression" dxfId="215" priority="45">
      <formula>$L$69&gt;0</formula>
    </cfRule>
  </conditionalFormatting>
  <conditionalFormatting sqref="T77">
    <cfRule type="expression" dxfId="214" priority="44">
      <formula>$L$69&gt;0</formula>
    </cfRule>
  </conditionalFormatting>
  <conditionalFormatting sqref="U77">
    <cfRule type="expression" dxfId="213" priority="43">
      <formula>$L$69&gt;0</formula>
    </cfRule>
  </conditionalFormatting>
  <conditionalFormatting sqref="V77">
    <cfRule type="expression" dxfId="212" priority="42">
      <formula>$L$69&gt;0</formula>
    </cfRule>
  </conditionalFormatting>
  <conditionalFormatting sqref="I52">
    <cfRule type="expression" dxfId="211" priority="28">
      <formula>I52&gt;F52</formula>
    </cfRule>
  </conditionalFormatting>
  <conditionalFormatting sqref="I56">
    <cfRule type="expression" dxfId="210" priority="27">
      <formula>I56&gt;F56</formula>
    </cfRule>
  </conditionalFormatting>
  <conditionalFormatting sqref="I60">
    <cfRule type="expression" dxfId="209" priority="26">
      <formula>I60&gt;F60</formula>
    </cfRule>
  </conditionalFormatting>
  <conditionalFormatting sqref="I64">
    <cfRule type="expression" dxfId="208" priority="25">
      <formula>I64&gt;F64</formula>
    </cfRule>
  </conditionalFormatting>
  <conditionalFormatting sqref="I68">
    <cfRule type="expression" dxfId="207" priority="24">
      <formula>I68&gt;F68</formula>
    </cfRule>
  </conditionalFormatting>
  <conditionalFormatting sqref="I72">
    <cfRule type="expression" dxfId="206" priority="23">
      <formula>I72&gt;F72</formula>
    </cfRule>
  </conditionalFormatting>
  <conditionalFormatting sqref="I76">
    <cfRule type="expression" dxfId="205" priority="22">
      <formula>I76&gt;F76</formula>
    </cfRule>
  </conditionalFormatting>
  <conditionalFormatting sqref="G61">
    <cfRule type="expression" dxfId="204" priority="21">
      <formula>$G$61&gt;$G$60*17</formula>
    </cfRule>
  </conditionalFormatting>
  <conditionalFormatting sqref="H61">
    <cfRule type="expression" dxfId="203" priority="20">
      <formula>$H$61&gt;$H$60*17</formula>
    </cfRule>
  </conditionalFormatting>
  <conditionalFormatting sqref="G53">
    <cfRule type="expression" dxfId="202" priority="19">
      <formula>$G$53&gt;$G$52*15</formula>
    </cfRule>
  </conditionalFormatting>
  <conditionalFormatting sqref="H53">
    <cfRule type="expression" dxfId="201" priority="18">
      <formula>$H$53&gt;$H$52*15</formula>
    </cfRule>
  </conditionalFormatting>
  <conditionalFormatting sqref="G57">
    <cfRule type="expression" dxfId="200" priority="17">
      <formula>$G$57&gt;$G$56*16</formula>
    </cfRule>
  </conditionalFormatting>
  <conditionalFormatting sqref="H57">
    <cfRule type="expression" dxfId="199" priority="16">
      <formula>$H$57&gt;$H$56*16</formula>
    </cfRule>
  </conditionalFormatting>
  <conditionalFormatting sqref="G65">
    <cfRule type="expression" dxfId="198" priority="15">
      <formula>$G$65&gt;$G$64*18</formula>
    </cfRule>
  </conditionalFormatting>
  <conditionalFormatting sqref="H65">
    <cfRule type="expression" dxfId="197" priority="14">
      <formula>$H$65&gt;$H$64*18</formula>
    </cfRule>
  </conditionalFormatting>
  <conditionalFormatting sqref="G69">
    <cfRule type="expression" dxfId="196" priority="13">
      <formula>$G$69&gt;$G$68*19</formula>
    </cfRule>
  </conditionalFormatting>
  <conditionalFormatting sqref="H69">
    <cfRule type="expression" dxfId="195" priority="12">
      <formula>$H$69&gt;$H$68*19</formula>
    </cfRule>
  </conditionalFormatting>
  <conditionalFormatting sqref="G73">
    <cfRule type="expression" dxfId="194" priority="11">
      <formula>$G$73&gt;$G$72*20</formula>
    </cfRule>
  </conditionalFormatting>
  <conditionalFormatting sqref="H73">
    <cfRule type="expression" dxfId="193" priority="10">
      <formula>$H$73&gt;$H$72*20</formula>
    </cfRule>
  </conditionalFormatting>
  <conditionalFormatting sqref="G45:H45">
    <cfRule type="expression" dxfId="192" priority="9">
      <formula>OR($F$45&gt;0,$I$34&gt;0)</formula>
    </cfRule>
  </conditionalFormatting>
  <conditionalFormatting sqref="I47">
    <cfRule type="expression" dxfId="191" priority="132">
      <formula>$I$47&gt;$I$45*100</formula>
    </cfRule>
    <cfRule type="expression" dxfId="190" priority="133">
      <formula>OR($I$46&gt;0,($M$47+$O$47+$Q$47+$S$47)&gt;0)</formula>
    </cfRule>
  </conditionalFormatting>
  <conditionalFormatting sqref="AA4:AB45 AA49:AB74 AB46:AB48">
    <cfRule type="cellIs" dxfId="189" priority="4" operator="equal">
      <formula>0</formula>
    </cfRule>
  </conditionalFormatting>
  <conditionalFormatting sqref="F81:G81">
    <cfRule type="expression" dxfId="188" priority="3">
      <formula>$C$81&lt;&gt;""</formula>
    </cfRule>
  </conditionalFormatting>
  <conditionalFormatting sqref="I45">
    <cfRule type="expression" dxfId="187" priority="2">
      <formula>$I$45&gt;$I$34</formula>
    </cfRule>
  </conditionalFormatting>
  <conditionalFormatting sqref="I35">
    <cfRule type="expression" dxfId="186" priority="1">
      <formula>$I$35&gt;($F$35+$M$35+$O$35+$Q$35+$S$35+$W$35+$X$35)</formula>
    </cfRule>
  </conditionalFormatting>
  <dataValidations count="25">
    <dataValidation type="list" allowBlank="1" showInputMessage="1" showErrorMessage="1" sqref="C1:D1" xr:uid="{82A4E39C-5412-4800-9A19-629B6B9266CA}">
      <formula1>E_Code</formula1>
    </dataValidation>
    <dataValidation type="custom" allowBlank="1" showInputMessage="1" showErrorMessage="1" errorTitle="Betrag zu hoch!" error="Es kann in Summe maximal die Vertragssumme eingetragen werden." sqref="G78:H78 G71 G75" xr:uid="{EB1638C1-B60B-40FC-8E1E-2FE318A08575}">
      <formula1>(G71+H71)&lt;=F71</formula1>
    </dataValidation>
    <dataValidation type="custom" allowBlank="1" showInputMessage="1" showErrorMessage="1" errorTitle="Betrag zu hoch!" error="Es kann in Summe maximal die Vertragssumme eingetragen werden." sqref="H71 H75" xr:uid="{7B55B01A-767F-4A86-8037-774B11E7098A}">
      <formula1>(G71+H71)&lt;=F71</formula1>
    </dataValidation>
    <dataValidation type="decimal" allowBlank="1" showInputMessage="1" showErrorMessage="1" errorTitle="Betrag zu hoch!" error="Es kann maximal der oberhalb angezeigte Betrag eingetragen werden." sqref="I42 I47" xr:uid="{49E75B58-7370-444F-8309-0A4B029EFC3D}">
      <formula1>0</formula1>
      <formula2>I41</formula2>
    </dataValidation>
    <dataValidation type="custom" allowBlank="1" showInputMessage="1" showErrorMessage="1" errorTitle="Summe Umschichtungen zu hoch!" error="Es kann maximal der zur Verfügung stehende Betrag umgeschichtet werden." sqref="P35:P36 N35:N36 T35:U36 V35" xr:uid="{F05501E6-EE34-470A-A27D-A4AE16B8E39E}">
      <formula1>($N$21+$P$21+$T$21)&lt;=$L$21</formula1>
    </dataValidation>
    <dataValidation type="custom" allowBlank="1" showInputMessage="1" showErrorMessage="1" errorTitle="Summe Umschichtungen zu hoch!" error="Es kann maximal der zur Verfügung stehende Betrag umgeschichtet werden." sqref="R42 T42:V42 P42 N42" xr:uid="{CB016E27-B404-4A21-A704-B0D71D5EE12B}">
      <formula1>($N$41+$P$41+$R$41+$T$41)&lt;=$L$41</formula1>
    </dataValidation>
    <dataValidation type="decimal" allowBlank="1" showInputMessage="1" showErrorMessage="1" errorTitle="Betrag zu hoch!" error="Es kann maximal der oberhalb angezeigte Betrag eingetragen werden." sqref="J43 J48" xr:uid="{55415D3B-10D5-41B7-B234-78B4F74D8DE0}">
      <formula1>0</formula1>
      <formula2>J41</formula2>
    </dataValidation>
    <dataValidation type="custom" allowBlank="1" showInputMessage="1" showErrorMessage="1" errorTitle="Summe Umschichtungen zu hoch!" error="Es kann maximal der zur Verfügung stehende Betrag umgeschichtet werden." sqref="N41 P41 R41 T41:V41" xr:uid="{A489728B-5C97-4201-85B7-288ADCF0BD24}">
      <formula1>($N$41+$P$41+$R$41+$T$41+$U$41)&lt;=($L$41+0.001)</formula1>
    </dataValidation>
    <dataValidation type="custom" allowBlank="1" showInputMessage="1" showErrorMessage="1" errorTitle="Summe Umschichtungen zu hoch!" error="Es kann maximal der zur Verfügung stehende Betrag umgeschichtet werden." sqref="N53" xr:uid="{1BE249EE-57D6-463D-9266-6FCBC3B57FD3}">
      <formula1>($N$53+$P$53+$R$53+$T$53+$U$53)&lt;=$L$53</formula1>
    </dataValidation>
    <dataValidation type="custom" allowBlank="1" showInputMessage="1" showErrorMessage="1" sqref="P53 T53:V53 R53" xr:uid="{2C427C8F-1646-4961-A8DC-02F787F87A84}">
      <formula1>($N$53+$P$53+$R$53+$T$53+$U$53)&lt;=$L$53</formula1>
    </dataValidation>
    <dataValidation type="custom" allowBlank="1" showInputMessage="1" showErrorMessage="1" errorTitle="Summe Umschichtungen zu hoch!" error="Es kann maximal der zur Verfügung stehende Betrag umgeschichtet werden." sqref="N57" xr:uid="{1FB38DAD-6181-4B0D-807C-CAA046977DBA}">
      <formula1>($N$57+$P$57+$R$57+$T$57+$U$57)&lt;=$L$57</formula1>
    </dataValidation>
    <dataValidation type="custom" allowBlank="1" showInputMessage="1" showErrorMessage="1" sqref="P57 T57:V57 R57" xr:uid="{7F29D97B-2C7F-42A0-9960-118A48B89C6F}">
      <formula1>($N$57+$P$57+$R$57+$T$57+$U$57)&lt;=$L$57</formula1>
    </dataValidation>
    <dataValidation type="custom" allowBlank="1" showInputMessage="1" showErrorMessage="1" errorTitle="Summe Umschichtungen zu hoch!" error="Es kann maximal der zur Verfügung stehende Betrag umgeschichtet werden." sqref="N61" xr:uid="{F5C54A63-A006-43C0-A701-B4DF83AA48AA}">
      <formula1>($N$61+$P$61+$R$61+$T$61+$U$61)&lt;=$L$61</formula1>
    </dataValidation>
    <dataValidation type="custom" allowBlank="1" showInputMessage="1" showErrorMessage="1" sqref="P61 T61:V61 R61" xr:uid="{65DF5F9C-FE19-42DF-B9DE-298696CF4A30}">
      <formula1>($N$61+$P$61+$R$61+$T$61+$U$61)&lt;=$L$61</formula1>
    </dataValidation>
    <dataValidation type="custom" allowBlank="1" showInputMessage="1" showErrorMessage="1" errorTitle="Summe Umschichtungen zu hoch!" error="Es kann maximal der zur Verfügung stehende Betrag umgeschichtet werden." sqref="N65" xr:uid="{6449E57F-5FBC-4CFE-89BD-94AB9E82E8AA}">
      <formula1>($N$65+$P$65+$R$65+$T$65+$U$65)&lt;=$L$65</formula1>
    </dataValidation>
    <dataValidation type="custom" allowBlank="1" showInputMessage="1" showErrorMessage="1" sqref="P65 T65:V65 R65" xr:uid="{685AA3E8-3E47-4534-979E-AE63E049EFEB}">
      <formula1>($N$65+$P$65+$R$65+$T$65+$U$65)&lt;=$L$65</formula1>
    </dataValidation>
    <dataValidation type="custom" allowBlank="1" showInputMessage="1" showErrorMessage="1" errorTitle="Summe Umschichtungen zu hoch!" error="Es kann maximal der zur Verfügung stehende Betrag umgeschichtet werden." sqref="N69 N77 N73 P77 R77 T77:V77" xr:uid="{CD7896FD-2188-4788-9C67-9C1E6886B737}">
      <formula1>($N$69+$P$69+$R$69+$T$69+$U$69)&lt;=$L$69</formula1>
    </dataValidation>
    <dataValidation type="custom" allowBlank="1" showInputMessage="1" showErrorMessage="1" sqref="P69 P73 T69:V69 R69 T73:V73 R73" xr:uid="{D4862D39-02C4-4EC5-8BE7-DC1444B3209C}">
      <formula1>($N$69+$P$69+$R$69+$T$69+$U$69)&lt;=$L$69</formula1>
    </dataValidation>
    <dataValidation type="custom" allowBlank="1" showInputMessage="1" showErrorMessage="1" sqref="T11:V11 R11 N11" xr:uid="{001650C4-25B4-4FA7-8765-AEA212B16311}">
      <formula1>($N$11+$R$11+$T$11+$U$11+$V$11)&lt;=($L$11+0.001)</formula1>
    </dataValidation>
    <dataValidation type="custom" allowBlank="1" showInputMessage="1" showErrorMessage="1" sqref="T21:V21 P21 N21" xr:uid="{CC5BEBA7-FAF3-4419-A7B0-0DC1962F76DF}">
      <formula1>($N$21+$P$21+$T$21+$U$21+$V$21)&lt;=($L$21+0.001)</formula1>
    </dataValidation>
    <dataValidation type="custom" allowBlank="1" showInputMessage="1" showErrorMessage="1" sqref="U26:V26 R26 P26 N26" xr:uid="{ACED5B35-7B19-4E30-859F-5B5D9A245C5C}">
      <formula1>$N$26+$P$26+$R$26+$U$26+$V$26&lt;=($L$26+0.001)</formula1>
    </dataValidation>
    <dataValidation type="custom" allowBlank="1" showInputMessage="1" showErrorMessage="1" sqref="V6" xr:uid="{7F927E52-9725-4CF2-84EF-617D0DD76EA3}">
      <formula1>AND(($P$6+$R$6+$T$6+$U$6+$V$6)&lt;=$L$6,$I$34&gt;0)</formula1>
    </dataValidation>
    <dataValidation type="custom" allowBlank="1" showInputMessage="1" showErrorMessage="1" errorTitle="Umschichtung zu hoch!" error="Es kann in Summe max. der in Spalte L angeführte Betrag umgeschichtet werden." sqref="T6:U6 R6 P6" xr:uid="{5835C839-6186-4028-BE37-05A97801A779}">
      <formula1>($P$6+$R$6+$T$6+$U$6+$V$6)&lt;=($L$6+0.001)</formula1>
    </dataValidation>
    <dataValidation allowBlank="1" showInputMessage="1" showErrorMessage="1" errorTitle="Betrag zu hoch!" error="Es kann maximal der Betrag für 20 Mobilitäten pro BIP berichtet werden." sqref="G54:H54 G62:H62 G58:H58" xr:uid="{D2EB8E8F-6CAA-4FDB-B12E-3FC6BA224241}"/>
    <dataValidation type="custom" allowBlank="1" showInputMessage="1" showErrorMessage="1" sqref="U46" xr:uid="{AC0A7992-5AEE-47B1-8E60-B79DF238A850}">
      <formula1>U46&lt;=(L46+0.001)</formula1>
    </dataValidation>
  </dataValidations>
  <pageMargins left="0.39370078740157483" right="0.31496062992125984" top="0.39370078740157483" bottom="0.51181102362204722" header="0.31496062992125984" footer="0.31496062992125984"/>
  <pageSetup paperSize="8" scale="68" orientation="landscape" r:id="rId1"/>
  <headerFooter>
    <oddFooter>&amp;L&amp;"Calibri,Standard"&amp;9Ben_InRe2-KA131_Call2021-0.1.2_v2022-02-25_frei&amp;R&amp;"Calibri,Standard"&amp;9gedruckt am: &amp;D</oddFooter>
  </headerFooter>
  <ignoredErrors>
    <ignoredError sqref="G76:G77 H76:H77 G78:H78" unlockedFormula="1"/>
    <ignoredError sqref="I40" 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41" id="{4AA0E261-C27D-4DF8-8237-825F8D43E788}">
            <xm:f>$G$62&gt;($G$61*VLOOKUP(D62,Steuerung!$Q$2:$R$6,2,0))</xm:f>
            <x14:dxf>
              <fill>
                <patternFill>
                  <bgColor rgb="FFFF0000"/>
                </patternFill>
              </fill>
            </x14:dxf>
          </x14:cfRule>
          <xm:sqref>G62</xm:sqref>
        </x14:conditionalFormatting>
        <x14:conditionalFormatting xmlns:xm="http://schemas.microsoft.com/office/excel/2006/main">
          <x14:cfRule type="expression" priority="40" id="{C2DFE9BF-5B8B-4956-B7A3-B383D223895B}">
            <xm:f>$H$62&gt;($H$61*VLOOKUP(D62,Steuerung!$Q$2:$R$6,2,0))</xm:f>
            <x14:dxf>
              <fill>
                <patternFill>
                  <bgColor rgb="FFFF0000"/>
                </patternFill>
              </fill>
            </x14:dxf>
          </x14:cfRule>
          <xm:sqref>H62</xm:sqref>
        </x14:conditionalFormatting>
        <x14:conditionalFormatting xmlns:xm="http://schemas.microsoft.com/office/excel/2006/main">
          <x14:cfRule type="expression" priority="38" id="{50980EAC-EB6B-4268-975B-7D7EFB9AAFC2}">
            <xm:f>$G$54&gt;($G$53*(VLOOKUP(D54,Steuerung!$Q$2:$R$6,2,0)))</xm:f>
            <x14:dxf>
              <fill>
                <patternFill>
                  <bgColor rgb="FFFF0000"/>
                </patternFill>
              </fill>
            </x14:dxf>
          </x14:cfRule>
          <xm:sqref>G54</xm:sqref>
        </x14:conditionalFormatting>
        <x14:conditionalFormatting xmlns:xm="http://schemas.microsoft.com/office/excel/2006/main">
          <x14:cfRule type="expression" priority="37" id="{1D5396FB-BCDB-425D-B7A7-FE04D861736B}">
            <xm:f>$H$54&gt;($H$53*VLOOKUP(D54,Steuerung!$Q$2:$R$6,2,0))</xm:f>
            <x14:dxf>
              <fill>
                <patternFill>
                  <bgColor rgb="FFFF0000"/>
                </patternFill>
              </fill>
            </x14:dxf>
          </x14:cfRule>
          <xm:sqref>H54</xm:sqref>
        </x14:conditionalFormatting>
        <x14:conditionalFormatting xmlns:xm="http://schemas.microsoft.com/office/excel/2006/main">
          <x14:cfRule type="expression" priority="36" id="{7F2BE240-D100-49D8-BE29-D5F2B74CDA0C}">
            <xm:f>$G$58&gt;($G$57*VLOOKUP(D58,Steuerung!$Q$2:$R$6,2,0))</xm:f>
            <x14:dxf>
              <fill>
                <patternFill>
                  <bgColor rgb="FFFF0000"/>
                </patternFill>
              </fill>
            </x14:dxf>
          </x14:cfRule>
          <xm:sqref>G58</xm:sqref>
        </x14:conditionalFormatting>
        <x14:conditionalFormatting xmlns:xm="http://schemas.microsoft.com/office/excel/2006/main">
          <x14:cfRule type="expression" priority="35" id="{5E6B5B0E-30EA-468B-9BC2-53905DDDEDFE}">
            <xm:f>$H$58&gt;($H$57*VLOOKUP(D58,Steuerung!$Q$2:$R$6,2,0))</xm:f>
            <x14:dxf>
              <fill>
                <patternFill>
                  <bgColor rgb="FFFF0000"/>
                </patternFill>
              </fill>
            </x14:dxf>
          </x14:cfRule>
          <xm:sqref>H58</xm:sqref>
        </x14:conditionalFormatting>
        <x14:conditionalFormatting xmlns:xm="http://schemas.microsoft.com/office/excel/2006/main">
          <x14:cfRule type="expression" priority="34" id="{7D86D811-DD95-4133-8AE9-193004E81D58}">
            <xm:f>$G$66&gt;($G$65*VLOOKUP(D66,Steuerung!$Q$2:$R$6,2,0))</xm:f>
            <x14:dxf>
              <fill>
                <patternFill>
                  <bgColor rgb="FFFF0000"/>
                </patternFill>
              </fill>
            </x14:dxf>
          </x14:cfRule>
          <xm:sqref>G66</xm:sqref>
        </x14:conditionalFormatting>
        <x14:conditionalFormatting xmlns:xm="http://schemas.microsoft.com/office/excel/2006/main">
          <x14:cfRule type="expression" priority="33" id="{1E13076C-E9C4-4B02-845D-AAD5D396147B}">
            <xm:f>$H$66&gt;($H$65*VLOOKUP(D66,Steuerung!$Q$2:$R$6,2,0))</xm:f>
            <x14:dxf>
              <fill>
                <patternFill>
                  <bgColor rgb="FFFF0000"/>
                </patternFill>
              </fill>
            </x14:dxf>
          </x14:cfRule>
          <xm:sqref>H66</xm:sqref>
        </x14:conditionalFormatting>
        <x14:conditionalFormatting xmlns:xm="http://schemas.microsoft.com/office/excel/2006/main">
          <x14:cfRule type="expression" priority="32" id="{DF239EB3-BB90-4A1A-8EF4-65B1A62FA529}">
            <xm:f>$G$70&gt;($G$69*VLOOKUP(D70,Steuerung!$Q$2:$R$6,2,0))</xm:f>
            <x14:dxf>
              <fill>
                <patternFill>
                  <bgColor rgb="FFFF0000"/>
                </patternFill>
              </fill>
            </x14:dxf>
          </x14:cfRule>
          <xm:sqref>G70</xm:sqref>
        </x14:conditionalFormatting>
        <x14:conditionalFormatting xmlns:xm="http://schemas.microsoft.com/office/excel/2006/main">
          <x14:cfRule type="expression" priority="31" id="{14C69FB9-A1CF-4A69-997E-5443C74D013F}">
            <xm:f>$H$70&gt;($H$69*VLOOKUP(D70,Steuerung!$Q$2:$R$6,2,0))</xm:f>
            <x14:dxf>
              <fill>
                <patternFill>
                  <bgColor rgb="FFFF0000"/>
                </patternFill>
              </fill>
            </x14:dxf>
          </x14:cfRule>
          <xm:sqref>H70</xm:sqref>
        </x14:conditionalFormatting>
        <x14:conditionalFormatting xmlns:xm="http://schemas.microsoft.com/office/excel/2006/main">
          <x14:cfRule type="expression" priority="30" id="{FACFBC28-B903-4F9D-830B-3E7A71D71BDA}">
            <xm:f>$G$74&gt;($G$73*VLOOKUP(D74,Steuerung!$Q$2:$R$6,2,0))</xm:f>
            <x14:dxf>
              <fill>
                <patternFill>
                  <bgColor rgb="FFFF0000"/>
                </patternFill>
              </fill>
            </x14:dxf>
          </x14:cfRule>
          <xm:sqref>G74</xm:sqref>
        </x14:conditionalFormatting>
        <x14:conditionalFormatting xmlns:xm="http://schemas.microsoft.com/office/excel/2006/main">
          <x14:cfRule type="expression" priority="29" id="{AFF07527-264B-4ACE-BDBA-21D13D8763AB}">
            <xm:f>$H$74&gt;($H$73*VLOOKUP(D74,Steuerung!$Q$2:$R$6,2,0))</xm:f>
            <x14:dxf>
              <fill>
                <patternFill>
                  <bgColor rgb="FFFF0000"/>
                </patternFill>
              </fill>
            </x14:dxf>
          </x14:cfRule>
          <xm:sqref>H74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FEFA8-0A76-4E0E-8149-4A328621E88E}">
  <dimension ref="A1:E47"/>
  <sheetViews>
    <sheetView zoomScaleNormal="100" workbookViewId="0">
      <selection activeCell="D3" sqref="D3:E3"/>
    </sheetView>
  </sheetViews>
  <sheetFormatPr baseColWidth="10" defaultColWidth="11.42578125" defaultRowHeight="12.75" x14ac:dyDescent="0.2"/>
  <cols>
    <col min="1" max="1" width="8" style="22" customWidth="1"/>
    <col min="2" max="2" width="45.140625" style="22" customWidth="1"/>
    <col min="3" max="3" width="9.140625" style="22" hidden="1" customWidth="1"/>
    <col min="4" max="4" width="16.85546875" style="22" customWidth="1"/>
    <col min="5" max="5" width="16.42578125" style="22" customWidth="1"/>
    <col min="6" max="16384" width="11.42578125" style="22"/>
  </cols>
  <sheetData>
    <row r="1" spans="2:5" ht="18.75" x14ac:dyDescent="0.3">
      <c r="B1" s="627" t="s">
        <v>547</v>
      </c>
      <c r="C1" s="627"/>
      <c r="D1" s="627"/>
      <c r="E1" s="627"/>
    </row>
    <row r="2" spans="2:5" ht="13.5" thickBot="1" x14ac:dyDescent="0.25">
      <c r="E2" s="459" t="str">
        <f>Erklärung!J6</f>
        <v>1.1.2</v>
      </c>
    </row>
    <row r="3" spans="2:5" ht="13.5" thickBot="1" x14ac:dyDescent="0.25">
      <c r="B3" s="22" t="s">
        <v>543</v>
      </c>
      <c r="D3" s="628" t="str">
        <f>'Dateneingabe Mobilitäten'!$C$1</f>
        <v>&lt;-- Bitte Erasmus Code auswählen --&gt;</v>
      </c>
      <c r="E3" s="629"/>
    </row>
    <row r="4" spans="2:5" x14ac:dyDescent="0.2">
      <c r="E4" s="328"/>
    </row>
    <row r="6" spans="2:5" x14ac:dyDescent="0.2">
      <c r="B6" s="22" t="s">
        <v>544</v>
      </c>
      <c r="C6" s="22" t="s">
        <v>592</v>
      </c>
      <c r="D6" s="22" t="s">
        <v>545</v>
      </c>
      <c r="E6" s="275" t="s">
        <v>546</v>
      </c>
    </row>
    <row r="7" spans="2:5" s="276" customFormat="1" ht="21" customHeight="1" x14ac:dyDescent="0.2">
      <c r="B7" s="277" t="str">
        <f>IF(ISBLANK(BIPs_NEU[[#This Row],[Anzahl Personen]]),"","Hier muss ein Name für das BIP angegeben werden!")</f>
        <v/>
      </c>
      <c r="C7" s="325" t="str">
        <f>IF(BIPs_NEU[[#This Row],[Anzahl Personen]]="","",BIPs_NEU[[#This Row],[Anzahl Personen]])</f>
        <v/>
      </c>
      <c r="D7" s="277"/>
      <c r="E7" s="278">
        <f>IF(AND(BIPs_NEU[[#This Row],[Anzahl Personen]]&gt;=15,BIPs_NEU[[#This Row],[Anzahl Personen]]&lt;=20),BIPs_NEU[[#This Row],[Anzahl Personen]]*400,IF(BIPs_NEU[[#This Row],[Anzahl Personen]]&gt;20,8000,0))</f>
        <v>0</v>
      </c>
    </row>
    <row r="8" spans="2:5" s="276" customFormat="1" ht="21" customHeight="1" x14ac:dyDescent="0.2">
      <c r="B8" s="277" t="str">
        <f>IF(ISBLANK(BIPs_NEU[[#This Row],[Anzahl Personen]]),"","Hier muss ein Name für das BIP angegeben werden!")</f>
        <v/>
      </c>
      <c r="C8" s="325" t="str">
        <f>IF(BIPs_NEU[[#This Row],[Anzahl Personen]]="","",BIPs_NEU[[#This Row],[Anzahl Personen]])</f>
        <v/>
      </c>
      <c r="D8" s="277"/>
      <c r="E8" s="278">
        <f>IF(AND(BIPs_NEU[[#This Row],[Anzahl Personen]]&gt;=15,BIPs_NEU[[#This Row],[Anzahl Personen]]&lt;=20),BIPs_NEU[[#This Row],[Anzahl Personen]]*400,IF(BIPs_NEU[[#This Row],[Anzahl Personen]]&gt;20,8000,0))</f>
        <v>0</v>
      </c>
    </row>
    <row r="9" spans="2:5" s="276" customFormat="1" ht="21" customHeight="1" x14ac:dyDescent="0.2">
      <c r="B9" s="277" t="str">
        <f>IF(ISBLANK(BIPs_NEU[[#This Row],[Anzahl Personen]]),"","Hier muss ein Name für das BIP angegeben werden!")</f>
        <v/>
      </c>
      <c r="C9" s="325" t="str">
        <f>IF(BIPs_NEU[[#This Row],[Anzahl Personen]]="","",BIPs_NEU[[#This Row],[Anzahl Personen]])</f>
        <v/>
      </c>
      <c r="D9" s="277"/>
      <c r="E9" s="278">
        <f>IF(AND(BIPs_NEU[[#This Row],[Anzahl Personen]]&gt;=15,BIPs_NEU[[#This Row],[Anzahl Personen]]&lt;=20),BIPs_NEU[[#This Row],[Anzahl Personen]]*400,IF(BIPs_NEU[[#This Row],[Anzahl Personen]]&gt;20,8000,0))</f>
        <v>0</v>
      </c>
    </row>
    <row r="10" spans="2:5" s="276" customFormat="1" ht="21" customHeight="1" x14ac:dyDescent="0.2">
      <c r="B10" s="277" t="str">
        <f>IF(ISBLANK(BIPs_NEU[[#This Row],[Anzahl Personen]]),"","Hier muss ein Name für das BIP angegeben werden!")</f>
        <v/>
      </c>
      <c r="C10" s="325" t="str">
        <f>IF(BIPs_NEU[[#This Row],[Anzahl Personen]]="","",BIPs_NEU[[#This Row],[Anzahl Personen]])</f>
        <v/>
      </c>
      <c r="D10" s="277"/>
      <c r="E10" s="278">
        <f>IF(AND(BIPs_NEU[[#This Row],[Anzahl Personen]]&gt;=15,BIPs_NEU[[#This Row],[Anzahl Personen]]&lt;=20),BIPs_NEU[[#This Row],[Anzahl Personen]]*400,IF(BIPs_NEU[[#This Row],[Anzahl Personen]]&gt;20,8000,0))</f>
        <v>0</v>
      </c>
    </row>
    <row r="11" spans="2:5" s="276" customFormat="1" ht="21" customHeight="1" x14ac:dyDescent="0.2">
      <c r="B11" s="277" t="str">
        <f>IF(ISBLANK(BIPs_NEU[[#This Row],[Anzahl Personen]]),"","Hier muss ein Name für das BIP angegeben werden!")</f>
        <v/>
      </c>
      <c r="C11" s="325" t="str">
        <f>IF(BIPs_NEU[[#This Row],[Anzahl Personen]]="","",BIPs_NEU[[#This Row],[Anzahl Personen]])</f>
        <v/>
      </c>
      <c r="D11" s="277"/>
      <c r="E11" s="278">
        <f>IF(AND(BIPs_NEU[[#This Row],[Anzahl Personen]]&gt;=15,BIPs_NEU[[#This Row],[Anzahl Personen]]&lt;=20),BIPs_NEU[[#This Row],[Anzahl Personen]]*400,IF(BIPs_NEU[[#This Row],[Anzahl Personen]]&gt;20,8000,0))</f>
        <v>0</v>
      </c>
    </row>
    <row r="12" spans="2:5" s="276" customFormat="1" ht="21" customHeight="1" x14ac:dyDescent="0.2">
      <c r="B12" s="277" t="str">
        <f>IF(ISBLANK(BIPs_NEU[[#This Row],[Anzahl Personen]]),"","Hier muss ein Name für das BIP angegeben werden!")</f>
        <v/>
      </c>
      <c r="C12" s="325" t="str">
        <f>IF(BIPs_NEU[[#This Row],[Anzahl Personen]]="","",BIPs_NEU[[#This Row],[Anzahl Personen]])</f>
        <v/>
      </c>
      <c r="D12" s="277"/>
      <c r="E12" s="278">
        <f>IF(AND(BIPs_NEU[[#This Row],[Anzahl Personen]]&gt;=15,BIPs_NEU[[#This Row],[Anzahl Personen]]&lt;=20),BIPs_NEU[[#This Row],[Anzahl Personen]]*400,IF(BIPs_NEU[[#This Row],[Anzahl Personen]]&gt;20,8000,0))</f>
        <v>0</v>
      </c>
    </row>
    <row r="13" spans="2:5" s="276" customFormat="1" ht="21" customHeight="1" x14ac:dyDescent="0.2">
      <c r="B13" s="277" t="str">
        <f>IF(ISBLANK(BIPs_NEU[[#This Row],[Anzahl Personen]]),"","Hier muss ein Name für das BIP angegeben werden!")</f>
        <v/>
      </c>
      <c r="C13" s="325" t="str">
        <f>IF(BIPs_NEU[[#This Row],[Anzahl Personen]]="","",BIPs_NEU[[#This Row],[Anzahl Personen]])</f>
        <v/>
      </c>
      <c r="D13" s="277"/>
      <c r="E13" s="278">
        <f>IF(AND(BIPs_NEU[[#This Row],[Anzahl Personen]]&gt;=15,BIPs_NEU[[#This Row],[Anzahl Personen]]&lt;=20),BIPs_NEU[[#This Row],[Anzahl Personen]]*400,IF(BIPs_NEU[[#This Row],[Anzahl Personen]]&gt;20,8000,0))</f>
        <v>0</v>
      </c>
    </row>
    <row r="14" spans="2:5" s="276" customFormat="1" ht="21" customHeight="1" x14ac:dyDescent="0.2">
      <c r="B14" s="277" t="str">
        <f>IF(ISBLANK(BIPs_NEU[[#This Row],[Anzahl Personen]]),"","Hier muss ein Name für das BIP angegeben werden!")</f>
        <v/>
      </c>
      <c r="C14" s="325" t="str">
        <f>IF(BIPs_NEU[[#This Row],[Anzahl Personen]]="","",BIPs_NEU[[#This Row],[Anzahl Personen]])</f>
        <v/>
      </c>
      <c r="D14" s="277"/>
      <c r="E14" s="278">
        <f>IF(AND(BIPs_NEU[[#This Row],[Anzahl Personen]]&gt;=15,BIPs_NEU[[#This Row],[Anzahl Personen]]&lt;=20),BIPs_NEU[[#This Row],[Anzahl Personen]]*400,IF(BIPs_NEU[[#This Row],[Anzahl Personen]]&gt;20,8000,0))</f>
        <v>0</v>
      </c>
    </row>
    <row r="15" spans="2:5" s="276" customFormat="1" ht="21" customHeight="1" x14ac:dyDescent="0.2">
      <c r="B15" s="277" t="str">
        <f>IF(ISBLANK(BIPs_NEU[[#This Row],[Anzahl Personen]]),"","Hier muss ein Name für das BIP angegeben werden!")</f>
        <v/>
      </c>
      <c r="C15" s="325" t="str">
        <f>IF(BIPs_NEU[[#This Row],[Anzahl Personen]]="","",BIPs_NEU[[#This Row],[Anzahl Personen]])</f>
        <v/>
      </c>
      <c r="D15" s="277"/>
      <c r="E15" s="278">
        <f>IF(AND(BIPs_NEU[[#This Row],[Anzahl Personen]]&gt;=15,BIPs_NEU[[#This Row],[Anzahl Personen]]&lt;=20),BIPs_NEU[[#This Row],[Anzahl Personen]]*400,IF(BIPs_NEU[[#This Row],[Anzahl Personen]]&gt;20,8000,0))</f>
        <v>0</v>
      </c>
    </row>
    <row r="16" spans="2:5" s="276" customFormat="1" ht="21" customHeight="1" x14ac:dyDescent="0.2">
      <c r="B16" s="277" t="str">
        <f>IF(ISBLANK(BIPs_NEU[[#This Row],[Anzahl Personen]]),"","Hier muss ein Name für das BIP angegeben werden!")</f>
        <v/>
      </c>
      <c r="C16" s="325" t="str">
        <f>IF(BIPs_NEU[[#This Row],[Anzahl Personen]]="","",BIPs_NEU[[#This Row],[Anzahl Personen]])</f>
        <v/>
      </c>
      <c r="D16" s="277"/>
      <c r="E16" s="278">
        <f>IF(AND(BIPs_NEU[[#This Row],[Anzahl Personen]]&gt;=15,BIPs_NEU[[#This Row],[Anzahl Personen]]&lt;=20),BIPs_NEU[[#This Row],[Anzahl Personen]]*400,IF(BIPs_NEU[[#This Row],[Anzahl Personen]]&gt;20,8000,0))</f>
        <v>0</v>
      </c>
    </row>
    <row r="17" spans="2:5" s="276" customFormat="1" ht="21" customHeight="1" x14ac:dyDescent="0.2">
      <c r="B17" s="277" t="str">
        <f>IF(ISBLANK(BIPs_NEU[[#This Row],[Anzahl Personen]]),"","Hier muss ein Name für das BIP angegeben werden!")</f>
        <v/>
      </c>
      <c r="C17" s="325" t="str">
        <f>IF(BIPs_NEU[[#This Row],[Anzahl Personen]]="","",BIPs_NEU[[#This Row],[Anzahl Personen]])</f>
        <v/>
      </c>
      <c r="D17" s="277"/>
      <c r="E17" s="278">
        <f>IF(AND(BIPs_NEU[[#This Row],[Anzahl Personen]]&gt;=15,BIPs_NEU[[#This Row],[Anzahl Personen]]&lt;=20),BIPs_NEU[[#This Row],[Anzahl Personen]]*400,IF(BIPs_NEU[[#This Row],[Anzahl Personen]]&gt;20,8000,0))</f>
        <v>0</v>
      </c>
    </row>
    <row r="18" spans="2:5" s="276" customFormat="1" ht="21" customHeight="1" x14ac:dyDescent="0.2">
      <c r="B18" s="277" t="str">
        <f>IF(ISBLANK(BIPs_NEU[[#This Row],[Anzahl Personen]]),"","Hier muss ein Name für das BIP angegeben werden!")</f>
        <v/>
      </c>
      <c r="C18" s="325" t="str">
        <f>IF(BIPs_NEU[[#This Row],[Anzahl Personen]]="","",BIPs_NEU[[#This Row],[Anzahl Personen]])</f>
        <v/>
      </c>
      <c r="D18" s="277"/>
      <c r="E18" s="278">
        <f>IF(AND(BIPs_NEU[[#This Row],[Anzahl Personen]]&gt;=15,BIPs_NEU[[#This Row],[Anzahl Personen]]&lt;=20),BIPs_NEU[[#This Row],[Anzahl Personen]]*400,IF(BIPs_NEU[[#This Row],[Anzahl Personen]]&gt;20,8000,0))</f>
        <v>0</v>
      </c>
    </row>
    <row r="19" spans="2:5" s="276" customFormat="1" ht="21" customHeight="1" x14ac:dyDescent="0.2">
      <c r="B19" s="277" t="str">
        <f>IF(ISBLANK(BIPs_NEU[[#This Row],[Anzahl Personen]]),"","Hier muss ein Name für das BIP angegeben werden!")</f>
        <v/>
      </c>
      <c r="C19" s="325" t="str">
        <f>IF(BIPs_NEU[[#This Row],[Anzahl Personen]]="","",BIPs_NEU[[#This Row],[Anzahl Personen]])</f>
        <v/>
      </c>
      <c r="D19" s="277"/>
      <c r="E19" s="278">
        <f>IF(AND(BIPs_NEU[[#This Row],[Anzahl Personen]]&gt;=15,BIPs_NEU[[#This Row],[Anzahl Personen]]&lt;=20),BIPs_NEU[[#This Row],[Anzahl Personen]]*400,IF(BIPs_NEU[[#This Row],[Anzahl Personen]]&gt;20,8000,0))</f>
        <v>0</v>
      </c>
    </row>
    <row r="20" spans="2:5" s="276" customFormat="1" ht="21" customHeight="1" x14ac:dyDescent="0.2">
      <c r="B20" s="277" t="str">
        <f>IF(ISBLANK(BIPs_NEU[[#This Row],[Anzahl Personen]]),"","Hier muss ein Name für das BIP angegeben werden!")</f>
        <v/>
      </c>
      <c r="C20" s="325" t="str">
        <f>IF(BIPs_NEU[[#This Row],[Anzahl Personen]]="","",BIPs_NEU[[#This Row],[Anzahl Personen]])</f>
        <v/>
      </c>
      <c r="D20" s="277"/>
      <c r="E20" s="278">
        <f>IF(AND(BIPs_NEU[[#This Row],[Anzahl Personen]]&gt;=15,BIPs_NEU[[#This Row],[Anzahl Personen]]&lt;=20),BIPs_NEU[[#This Row],[Anzahl Personen]]*400,IF(BIPs_NEU[[#This Row],[Anzahl Personen]]&gt;20,8000,0))</f>
        <v>0</v>
      </c>
    </row>
    <row r="21" spans="2:5" s="276" customFormat="1" ht="21" customHeight="1" x14ac:dyDescent="0.2">
      <c r="B21" s="277" t="str">
        <f>IF(ISBLANK(BIPs_NEU[[#This Row],[Anzahl Personen]]),"","Hier muss ein Name für das BIP angegeben werden!")</f>
        <v/>
      </c>
      <c r="C21" s="325" t="str">
        <f>IF(BIPs_NEU[[#This Row],[Anzahl Personen]]="","",BIPs_NEU[[#This Row],[Anzahl Personen]])</f>
        <v/>
      </c>
      <c r="D21" s="277"/>
      <c r="E21" s="278">
        <f>IF(AND(BIPs_NEU[[#This Row],[Anzahl Personen]]&gt;=15,BIPs_NEU[[#This Row],[Anzahl Personen]]&lt;=20),BIPs_NEU[[#This Row],[Anzahl Personen]]*400,IF(BIPs_NEU[[#This Row],[Anzahl Personen]]&gt;20,8000,0))</f>
        <v>0</v>
      </c>
    </row>
    <row r="22" spans="2:5" s="276" customFormat="1" ht="21" customHeight="1" x14ac:dyDescent="0.2">
      <c r="B22" s="277" t="str">
        <f>IF(ISBLANK(BIPs_NEU[[#This Row],[Anzahl Personen]]),"","Hier muss ein Name für das BIP angegeben werden!")</f>
        <v/>
      </c>
      <c r="C22" s="325" t="str">
        <f>IF(BIPs_NEU[[#This Row],[Anzahl Personen]]="","",BIPs_NEU[[#This Row],[Anzahl Personen]])</f>
        <v/>
      </c>
      <c r="D22" s="277"/>
      <c r="E22" s="278">
        <f>IF(AND(BIPs_NEU[[#This Row],[Anzahl Personen]]&gt;=15,BIPs_NEU[[#This Row],[Anzahl Personen]]&lt;=20),BIPs_NEU[[#This Row],[Anzahl Personen]]*400,IF(BIPs_NEU[[#This Row],[Anzahl Personen]]&gt;20,8000,0))</f>
        <v>0</v>
      </c>
    </row>
    <row r="23" spans="2:5" s="276" customFormat="1" ht="21" customHeight="1" x14ac:dyDescent="0.2">
      <c r="B23" s="277" t="str">
        <f>IF(ISBLANK(BIPs_NEU[[#This Row],[Anzahl Personen]]),"","Hier muss ein Name für das BIP angegeben werden!")</f>
        <v/>
      </c>
      <c r="C23" s="325" t="str">
        <f>IF(BIPs_NEU[[#This Row],[Anzahl Personen]]="","",BIPs_NEU[[#This Row],[Anzahl Personen]])</f>
        <v/>
      </c>
      <c r="D23" s="277"/>
      <c r="E23" s="278">
        <f>IF(AND(BIPs_NEU[[#This Row],[Anzahl Personen]]&gt;=15,BIPs_NEU[[#This Row],[Anzahl Personen]]&lt;=20),BIPs_NEU[[#This Row],[Anzahl Personen]]*400,IF(BIPs_NEU[[#This Row],[Anzahl Personen]]&gt;20,8000,0))</f>
        <v>0</v>
      </c>
    </row>
    <row r="24" spans="2:5" s="276" customFormat="1" ht="21" customHeight="1" x14ac:dyDescent="0.2">
      <c r="B24" s="277" t="str">
        <f>IF(ISBLANK(BIPs_NEU[[#This Row],[Anzahl Personen]]),"","Hier muss ein Name für das BIP angegeben werden!")</f>
        <v/>
      </c>
      <c r="C24" s="325" t="str">
        <f>IF(BIPs_NEU[[#This Row],[Anzahl Personen]]="","",BIPs_NEU[[#This Row],[Anzahl Personen]])</f>
        <v/>
      </c>
      <c r="D24" s="277"/>
      <c r="E24" s="278">
        <f>IF(AND(BIPs_NEU[[#This Row],[Anzahl Personen]]&gt;=15,BIPs_NEU[[#This Row],[Anzahl Personen]]&lt;=20),BIPs_NEU[[#This Row],[Anzahl Personen]]*400,IF(BIPs_NEU[[#This Row],[Anzahl Personen]]&gt;20,8000,0))</f>
        <v>0</v>
      </c>
    </row>
    <row r="25" spans="2:5" s="276" customFormat="1" ht="21" customHeight="1" x14ac:dyDescent="0.2">
      <c r="B25" s="277" t="str">
        <f>IF(ISBLANK(BIPs_NEU[[#This Row],[Anzahl Personen]]),"","Hier muss ein Name für das BIP angegeben werden!")</f>
        <v/>
      </c>
      <c r="C25" s="325" t="str">
        <f>IF(BIPs_NEU[[#This Row],[Anzahl Personen]]="","",BIPs_NEU[[#This Row],[Anzahl Personen]])</f>
        <v/>
      </c>
      <c r="D25" s="277"/>
      <c r="E25" s="278">
        <f>IF(AND(BIPs_NEU[[#This Row],[Anzahl Personen]]&gt;=15,BIPs_NEU[[#This Row],[Anzahl Personen]]&lt;=20),BIPs_NEU[[#This Row],[Anzahl Personen]]*400,IF(BIPs_NEU[[#This Row],[Anzahl Personen]]&gt;20,8000,0))</f>
        <v>0</v>
      </c>
    </row>
    <row r="26" spans="2:5" s="276" customFormat="1" ht="21" customHeight="1" x14ac:dyDescent="0.2">
      <c r="B26" s="277" t="str">
        <f>IF(ISBLANK(BIPs_NEU[[#This Row],[Anzahl Personen]]),"","Hier muss ein Name für das BIP angegeben werden!")</f>
        <v/>
      </c>
      <c r="C26" s="325" t="str">
        <f>IF(BIPs_NEU[[#This Row],[Anzahl Personen]]="","",BIPs_NEU[[#This Row],[Anzahl Personen]])</f>
        <v/>
      </c>
      <c r="D26" s="277"/>
      <c r="E26" s="278">
        <f>IF(AND(BIPs_NEU[[#This Row],[Anzahl Personen]]&gt;=15,BIPs_NEU[[#This Row],[Anzahl Personen]]&lt;=20),BIPs_NEU[[#This Row],[Anzahl Personen]]*400,IF(BIPs_NEU[[#This Row],[Anzahl Personen]]&gt;20,8000,0))</f>
        <v>0</v>
      </c>
    </row>
    <row r="27" spans="2:5" x14ac:dyDescent="0.2">
      <c r="B27" s="22" t="str">
        <f>"Anzahl zusätzlich beantragter BIPs: "&amp;SUBTOTAL(102,BIPs_NEU[Anzahl Personen])</f>
        <v>Anzahl zusätzlich beantragter BIPs: 0</v>
      </c>
      <c r="C27" s="22">
        <f>SUBTOTAL(102,BIPs_NEU[Spalte1])</f>
        <v>0</v>
      </c>
      <c r="D27" s="566">
        <f>SUBTOTAL(109,BIPs_NEU[Anzahl Personen])</f>
        <v>0</v>
      </c>
      <c r="E27" s="123">
        <f>SUBTOTAL(109,BIPs_NEU[Beantragter Betrag])</f>
        <v>0</v>
      </c>
    </row>
    <row r="29" spans="2:5" x14ac:dyDescent="0.2">
      <c r="D29" s="567">
        <f>SUBTOTAL(102,BIPs_NEU[Anzahl Personen])</f>
        <v>0</v>
      </c>
    </row>
    <row r="47" spans="1:1" x14ac:dyDescent="0.2">
      <c r="A47" s="556" t="str">
        <f>Steuerung!U4</f>
        <v>Ben_InRe1-KA131_Call2022_v2022-10-14_frei_mgr</v>
      </c>
    </row>
  </sheetData>
  <sheetProtection algorithmName="SHA-512" hashValue="U+WjfwojwUo5GT1fCbrikzhxnollDd/nUM8VC0Z/xwVpd3HirMjCcBeX86uF9ry2J9pZ1eyS1ldy4qHI0ISU3g==" saltValue="2Lte06Nf/BcvAcTaBjgc3Q==" spinCount="100000" sheet="1" insertRows="0"/>
  <mergeCells count="2">
    <mergeCell ref="B1:E1"/>
    <mergeCell ref="D3:E3"/>
  </mergeCells>
  <dataValidations count="3">
    <dataValidation type="whole" allowBlank="1" showInputMessage="1" showErrorMessage="1" error="Mindestens 15 Mobilitäten sind für ein BIP  notwendig!" sqref="D7:D26" xr:uid="{AAB69739-7F25-4EA5-9ADA-2CD8C6FAAB08}">
      <formula1>15</formula1>
      <formula2>1000</formula2>
    </dataValidation>
    <dataValidation type="textLength" allowBlank="1" showInputMessage="1" showErrorMessage="1" error="min. 3, max. 255 Zeichen" sqref="B7:B26" xr:uid="{C3882634-3F36-457E-8464-7D9BD36571E9}">
      <formula1>3</formula1>
      <formula2>255</formula2>
    </dataValidation>
    <dataValidation allowBlank="1" showInputMessage="1" showErrorMessage="1" error="min. 3, max. 255 Zeichen" sqref="C7:C26" xr:uid="{260F2404-F883-4A65-B5B0-DB85636A6A11}"/>
  </dataValidations>
  <pageMargins left="0.70866141732283472" right="0.70866141732283472" top="0.78740157480314965" bottom="0.44" header="0.31496062992125984" footer="0.52"/>
  <pageSetup paperSize="9" orientation="portrait" r:id="rId1"/>
  <headerFooter>
    <oddFooter>&amp;R&amp;"Calibri,Standard"&amp;8gedruckt am  &amp;D</oddFooter>
  </headerFooter>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77"/>
  <sheetViews>
    <sheetView showGridLines="0" zoomScaleNormal="100" workbookViewId="0">
      <selection activeCell="B72" sqref="B72"/>
    </sheetView>
  </sheetViews>
  <sheetFormatPr baseColWidth="10" defaultColWidth="12" defaultRowHeight="12.75" x14ac:dyDescent="0.2"/>
  <cols>
    <col min="1" max="1" width="3.7109375" style="184" customWidth="1"/>
    <col min="2" max="2" width="14.42578125" style="184" customWidth="1"/>
    <col min="3" max="3" width="12.42578125" style="184" customWidth="1"/>
    <col min="4" max="4" width="3" style="184" customWidth="1"/>
    <col min="5" max="5" width="12" style="184"/>
    <col min="6" max="6" width="14.42578125" style="184" customWidth="1"/>
    <col min="7" max="7" width="1.28515625" style="184" customWidth="1"/>
    <col min="8" max="8" width="0.5703125" style="184" customWidth="1"/>
    <col min="9" max="9" width="2.85546875" style="184" customWidth="1"/>
    <col min="10" max="10" width="12" style="184"/>
    <col min="11" max="11" width="6.42578125" style="184" customWidth="1"/>
    <col min="12" max="12" width="13.42578125" style="184" customWidth="1"/>
    <col min="13" max="13" width="13.28515625" style="184" customWidth="1"/>
    <col min="14" max="14" width="10.140625" style="184" customWidth="1"/>
    <col min="15" max="15" width="5.42578125" style="184" customWidth="1"/>
    <col min="16" max="20" width="0" style="184" hidden="1" customWidth="1"/>
    <col min="21" max="16384" width="12" style="184"/>
  </cols>
  <sheetData>
    <row r="1" spans="1:19" ht="6.75" customHeight="1" x14ac:dyDescent="0.2">
      <c r="B1" s="269"/>
      <c r="C1" s="638"/>
      <c r="D1" s="639"/>
      <c r="E1" s="268"/>
      <c r="F1" s="268"/>
    </row>
    <row r="2" spans="1:19" ht="66.75" customHeight="1" x14ac:dyDescent="0.2">
      <c r="M2" s="458" t="str">
        <f>Erklärung!J6</f>
        <v>1.1.2</v>
      </c>
    </row>
    <row r="3" spans="1:19" ht="66.75" customHeight="1" x14ac:dyDescent="0.2">
      <c r="A3" s="347"/>
      <c r="B3" s="642" t="str">
        <f>Steuerung!U5&amp;"
ERASMUS+  Mobilität von Lernenden und Bildungspersonal (KA131)
Call 2022"</f>
        <v>1.  Z W I S C H E N B E R I C H T
ERASMUS+  Mobilität von Lernenden und Bildungspersonal (KA131)
Call 2022</v>
      </c>
      <c r="C3" s="643"/>
      <c r="D3" s="643"/>
      <c r="E3" s="643"/>
      <c r="F3" s="643"/>
      <c r="G3" s="643"/>
      <c r="H3" s="643"/>
      <c r="I3" s="643"/>
      <c r="J3" s="643"/>
      <c r="K3" s="643"/>
      <c r="L3" s="643"/>
      <c r="M3" s="644"/>
      <c r="N3" s="348"/>
    </row>
    <row r="4" spans="1:19" ht="9.75" customHeight="1" x14ac:dyDescent="0.2">
      <c r="A4" s="349"/>
      <c r="F4" s="12"/>
      <c r="G4" s="12"/>
      <c r="H4" s="12"/>
      <c r="I4" s="12"/>
      <c r="J4" s="12"/>
      <c r="K4" s="12"/>
      <c r="L4" s="12"/>
      <c r="M4" s="12"/>
      <c r="N4" s="12"/>
    </row>
    <row r="5" spans="1:19" ht="15.75" customHeight="1" x14ac:dyDescent="0.2">
      <c r="A5" s="347"/>
      <c r="B5" s="641" t="s">
        <v>0</v>
      </c>
      <c r="C5" s="641"/>
      <c r="D5" s="641"/>
      <c r="E5" s="641"/>
      <c r="F5" s="640" t="str">
        <f>'Dateneingabe Mobilitäten'!C1</f>
        <v>&lt;-- Bitte Erasmus Code auswählen --&gt;</v>
      </c>
      <c r="G5" s="640"/>
      <c r="H5" s="640"/>
      <c r="I5" s="640"/>
      <c r="J5" s="640"/>
      <c r="K5" s="640"/>
      <c r="L5" s="640"/>
      <c r="M5" s="640"/>
      <c r="N5" s="115"/>
    </row>
    <row r="6" spans="1:19" ht="15.75" customHeight="1" x14ac:dyDescent="0.2">
      <c r="A6" s="347"/>
      <c r="B6" s="641" t="s">
        <v>214</v>
      </c>
      <c r="C6" s="641"/>
      <c r="D6" s="641"/>
      <c r="E6" s="641"/>
      <c r="F6" s="640">
        <f>VLOOKUP(F5,Daten[],3,0)</f>
        <v>0</v>
      </c>
      <c r="G6" s="640"/>
      <c r="H6" s="640"/>
      <c r="I6" s="640"/>
      <c r="J6" s="640"/>
      <c r="K6" s="640"/>
      <c r="L6" s="640"/>
      <c r="M6" s="640"/>
      <c r="N6" s="346"/>
    </row>
    <row r="7" spans="1:19" ht="39" customHeight="1" x14ac:dyDescent="0.2">
      <c r="A7" s="347"/>
      <c r="B7" s="641" t="s">
        <v>1</v>
      </c>
      <c r="C7" s="641"/>
      <c r="D7" s="641"/>
      <c r="E7" s="641"/>
      <c r="F7" s="645">
        <f>VLOOKUP(F5,Daten[],2,0)</f>
        <v>0</v>
      </c>
      <c r="G7" s="645"/>
      <c r="H7" s="645"/>
      <c r="I7" s="645"/>
      <c r="J7" s="645"/>
      <c r="K7" s="645"/>
      <c r="L7" s="645"/>
      <c r="M7" s="645"/>
      <c r="N7" s="350"/>
    </row>
    <row r="8" spans="1:19" ht="15.75" customHeight="1" x14ac:dyDescent="0.2">
      <c r="A8" s="347"/>
      <c r="B8" s="641" t="s">
        <v>6</v>
      </c>
      <c r="C8" s="641"/>
      <c r="D8" s="641"/>
      <c r="E8" s="641"/>
      <c r="F8" s="640">
        <f>VLOOKUP(F5,Daten[],5,0)</f>
        <v>0</v>
      </c>
      <c r="G8" s="640"/>
      <c r="H8" s="640"/>
      <c r="I8" s="640"/>
      <c r="J8" s="640"/>
      <c r="K8" s="640"/>
      <c r="L8" s="640"/>
      <c r="M8" s="640"/>
      <c r="N8" s="346"/>
    </row>
    <row r="9" spans="1:19" ht="15.75" customHeight="1" x14ac:dyDescent="0.2">
      <c r="A9" s="347"/>
      <c r="B9" s="16" t="s">
        <v>386</v>
      </c>
      <c r="C9" s="16"/>
      <c r="D9" s="16"/>
      <c r="E9" s="16"/>
      <c r="F9" s="640">
        <f>VLOOKUP(F5,Daten[],4,0)</f>
        <v>0</v>
      </c>
      <c r="G9" s="640"/>
      <c r="H9" s="640"/>
      <c r="I9" s="640"/>
      <c r="J9" s="640"/>
      <c r="K9" s="640"/>
      <c r="L9" s="640"/>
      <c r="M9" s="640"/>
      <c r="N9" s="346"/>
    </row>
    <row r="10" spans="1:19" ht="6" customHeight="1" x14ac:dyDescent="0.2">
      <c r="A10" s="347"/>
      <c r="B10" s="16"/>
      <c r="C10" s="16"/>
      <c r="D10" s="16"/>
      <c r="E10" s="16"/>
      <c r="F10" s="346"/>
      <c r="G10" s="346"/>
      <c r="H10" s="346"/>
      <c r="I10" s="346"/>
      <c r="J10" s="346"/>
      <c r="K10" s="346"/>
      <c r="L10" s="346"/>
      <c r="M10" s="346"/>
      <c r="N10" s="346"/>
    </row>
    <row r="11" spans="1:19" ht="15.75" x14ac:dyDescent="0.25">
      <c r="A11" s="349"/>
      <c r="B11" s="351" t="s">
        <v>378</v>
      </c>
      <c r="C11" s="352"/>
      <c r="D11" s="352"/>
      <c r="E11" s="353"/>
      <c r="F11" s="354"/>
      <c r="G11" s="354"/>
      <c r="H11" s="354"/>
      <c r="I11" s="354"/>
      <c r="J11" s="354"/>
      <c r="K11" s="354"/>
      <c r="L11" s="354"/>
      <c r="M11" s="353"/>
      <c r="N11" s="12"/>
    </row>
    <row r="12" spans="1:19" ht="6.75" customHeight="1" thickBot="1" x14ac:dyDescent="0.3">
      <c r="A12" s="349"/>
      <c r="B12" s="355"/>
      <c r="C12" s="356"/>
      <c r="D12" s="356"/>
      <c r="E12" s="12"/>
      <c r="F12" s="357"/>
      <c r="G12" s="357"/>
      <c r="H12" s="357"/>
      <c r="I12" s="357"/>
      <c r="J12" s="357"/>
      <c r="K12" s="357"/>
      <c r="L12" s="357"/>
      <c r="M12" s="12"/>
      <c r="N12" s="12"/>
    </row>
    <row r="13" spans="1:19" ht="15.75" x14ac:dyDescent="0.25">
      <c r="A13" s="349"/>
      <c r="C13" s="358"/>
      <c r="D13" s="359"/>
      <c r="E13" s="669" t="s">
        <v>380</v>
      </c>
      <c r="F13" s="669"/>
      <c r="G13" s="360"/>
      <c r="H13" s="360"/>
      <c r="I13" s="211"/>
      <c r="J13" s="669" t="s">
        <v>379</v>
      </c>
      <c r="K13" s="669"/>
      <c r="L13" s="669"/>
      <c r="M13" s="670"/>
      <c r="N13" s="110"/>
      <c r="P13" s="184" t="s">
        <v>507</v>
      </c>
    </row>
    <row r="14" spans="1:19" ht="15" customHeight="1" x14ac:dyDescent="0.2">
      <c r="A14" s="347"/>
      <c r="C14" s="361"/>
      <c r="D14" s="16"/>
      <c r="E14" s="28" t="s">
        <v>350</v>
      </c>
      <c r="F14" s="28" t="s">
        <v>114</v>
      </c>
      <c r="G14" s="28"/>
      <c r="I14" s="12"/>
      <c r="J14" s="635" t="s">
        <v>350</v>
      </c>
      <c r="K14" s="635"/>
      <c r="L14" s="635" t="s">
        <v>114</v>
      </c>
      <c r="M14" s="674"/>
      <c r="Q14" s="28" t="s">
        <v>412</v>
      </c>
    </row>
    <row r="15" spans="1:19" s="362" customFormat="1" ht="15.75" customHeight="1" x14ac:dyDescent="0.2">
      <c r="A15" s="347"/>
      <c r="C15" s="363" t="s">
        <v>349</v>
      </c>
      <c r="D15" s="364"/>
      <c r="E15" s="102">
        <f>'Dateneingabe Mobilitäten'!F4</f>
        <v>0</v>
      </c>
      <c r="F15" s="103">
        <f>'Dateneingabe Mobilitäten'!F7</f>
        <v>0</v>
      </c>
      <c r="G15" s="116"/>
      <c r="I15" s="365"/>
      <c r="J15" s="102">
        <f>'Dateneingabe Mobilitäten'!I4</f>
        <v>0</v>
      </c>
      <c r="K15" s="338" t="str">
        <f>IF((J15-E15)&gt;0,"(+"&amp;J15-E15&amp;")",IF((J15-E15)&lt;0,"(-"&amp;(J15-E15)*-1&amp;")","(0)"))</f>
        <v>(0)</v>
      </c>
      <c r="L15" s="103">
        <f>'Dateneingabe Mobilitäten'!I7</f>
        <v>0</v>
      </c>
      <c r="M15" s="280" t="str">
        <f>IF((L15-F15)=0,"(0)",L15-F15)</f>
        <v>(0)</v>
      </c>
      <c r="O15" s="54"/>
      <c r="P15" s="57">
        <f t="shared" ref="P15:P20" si="0">F15-L15</f>
        <v>0</v>
      </c>
      <c r="Q15" s="18" t="e">
        <f>'Dateneingabe Mobilitäten'!O7+'Dateneingabe Mobilitäten'!P7+'Dateneingabe Mobilitäten'!Q7+'Dateneingabe Mobilitäten'!R7+'Dateneingabe Mobilitäten'!S7+'Dateneingabe Mobilitäten'!T7+'Dateneingabe Mobilitäten'!W7+'Dateneingabe Mobilitäten'!#REF!+'Dateneingabe Mobilitäten'!X7</f>
        <v>#REF!</v>
      </c>
      <c r="S15" s="362" t="str">
        <f>IF((J15-E15)&gt;0,"(+"&amp;J15-E15&amp;")",IF((J15-E15)&lt;0,"(-"&amp;(J15-E15)*-1&amp;")","(0)"))</f>
        <v>(0)</v>
      </c>
    </row>
    <row r="16" spans="1:19" s="362" customFormat="1" ht="15.75" customHeight="1" x14ac:dyDescent="0.2">
      <c r="A16" s="347"/>
      <c r="C16" s="363" t="s">
        <v>351</v>
      </c>
      <c r="D16" s="364"/>
      <c r="E16" s="102">
        <f>'Dateneingabe Mobilitäten'!F9</f>
        <v>0</v>
      </c>
      <c r="F16" s="103">
        <f>'Dateneingabe Mobilitäten'!F12</f>
        <v>0</v>
      </c>
      <c r="G16" s="116"/>
      <c r="I16" s="365"/>
      <c r="J16" s="102">
        <f>'Dateneingabe Mobilitäten'!I9</f>
        <v>0</v>
      </c>
      <c r="K16" s="338" t="str">
        <f t="shared" ref="K16:K18" si="1">IF((J16-E16)&gt;0,"(+"&amp;J16-E16&amp;")",IF((J16-E16)&lt;0,"(-"&amp;(J16-E16)*-1&amp;")","(0)"))</f>
        <v>(0)</v>
      </c>
      <c r="L16" s="103">
        <f>'Dateneingabe Mobilitäten'!I12</f>
        <v>0</v>
      </c>
      <c r="M16" s="280" t="str">
        <f t="shared" ref="M16:M18" si="2">IF((L16-F16)=0,"(0)",L16-F16)</f>
        <v>(0)</v>
      </c>
      <c r="O16" s="54"/>
      <c r="P16" s="57">
        <f t="shared" si="0"/>
        <v>0</v>
      </c>
      <c r="Q16" s="18" t="e">
        <f>'Dateneingabe Mobilitäten'!M12+'Dateneingabe Mobilitäten'!N12+'Dateneingabe Mobilitäten'!Q12+'Dateneingabe Mobilitäten'!R12+'Dateneingabe Mobilitäten'!S12+'Dateneingabe Mobilitäten'!T12+'Dateneingabe Mobilitäten'!W12+'Dateneingabe Mobilitäten'!#REF!+'Dateneingabe Mobilitäten'!X12</f>
        <v>#REF!</v>
      </c>
      <c r="S16" s="362" t="str">
        <f t="shared" ref="S16:S34" si="3">IF((J16-E16)&gt;0,"(+"&amp;J16-E16&amp;")",IF((J16-E16)&lt;0,"(-"&amp;(J16-E16)*-1&amp;")","(0)"))</f>
        <v>(0)</v>
      </c>
    </row>
    <row r="17" spans="1:19" s="362" customFormat="1" ht="15.75" customHeight="1" x14ac:dyDescent="0.2">
      <c r="A17" s="347"/>
      <c r="C17" s="363" t="s">
        <v>3</v>
      </c>
      <c r="D17" s="364"/>
      <c r="E17" s="102">
        <f>'Dateneingabe Mobilitäten'!F19</f>
        <v>0</v>
      </c>
      <c r="F17" s="103">
        <f>'Dateneingabe Mobilitäten'!F22</f>
        <v>0</v>
      </c>
      <c r="G17" s="116"/>
      <c r="I17" s="365"/>
      <c r="J17" s="102">
        <f>'Dateneingabe Mobilitäten'!I19</f>
        <v>0</v>
      </c>
      <c r="K17" s="338" t="str">
        <f t="shared" si="1"/>
        <v>(0)</v>
      </c>
      <c r="L17" s="103">
        <f>'Dateneingabe Mobilitäten'!I22</f>
        <v>0</v>
      </c>
      <c r="M17" s="280" t="str">
        <f t="shared" si="2"/>
        <v>(0)</v>
      </c>
      <c r="O17" s="54"/>
      <c r="P17" s="57">
        <f t="shared" si="0"/>
        <v>0</v>
      </c>
      <c r="Q17" s="18" t="e">
        <f>'Dateneingabe Mobilitäten'!M22+'Dateneingabe Mobilitäten'!N22+'Dateneingabe Mobilitäten'!O22+'Dateneingabe Mobilitäten'!P22+'Dateneingabe Mobilitäten'!S22+'Dateneingabe Mobilitäten'!T22+'Dateneingabe Mobilitäten'!W22+'Dateneingabe Mobilitäten'!#REF!+'Dateneingabe Mobilitäten'!X22</f>
        <v>#REF!</v>
      </c>
      <c r="S17" s="362" t="str">
        <f t="shared" si="3"/>
        <v>(0)</v>
      </c>
    </row>
    <row r="18" spans="1:19" s="362" customFormat="1" ht="15.75" customHeight="1" x14ac:dyDescent="0.2">
      <c r="A18" s="347"/>
      <c r="C18" s="363" t="s">
        <v>4</v>
      </c>
      <c r="D18" s="364"/>
      <c r="E18" s="102">
        <f>'Dateneingabe Mobilitäten'!F24</f>
        <v>0</v>
      </c>
      <c r="F18" s="103">
        <f>'Dateneingabe Mobilitäten'!F27</f>
        <v>0</v>
      </c>
      <c r="G18" s="116"/>
      <c r="I18" s="365"/>
      <c r="J18" s="102">
        <f>'Dateneingabe Mobilitäten'!I24</f>
        <v>0</v>
      </c>
      <c r="K18" s="338" t="str">
        <f t="shared" si="1"/>
        <v>(0)</v>
      </c>
      <c r="L18" s="103">
        <f>'Dateneingabe Mobilitäten'!I27</f>
        <v>0</v>
      </c>
      <c r="M18" s="280" t="str">
        <f t="shared" si="2"/>
        <v>(0)</v>
      </c>
      <c r="O18" s="54"/>
      <c r="P18" s="57">
        <f t="shared" si="0"/>
        <v>0</v>
      </c>
      <c r="Q18" s="18" t="e">
        <f>'Dateneingabe Mobilitäten'!M27+'Dateneingabe Mobilitäten'!N27+'Dateneingabe Mobilitäten'!O27+'Dateneingabe Mobilitäten'!P27+'Dateneingabe Mobilitäten'!Q27+'Dateneingabe Mobilitäten'!R27+'Dateneingabe Mobilitäten'!W27+'Dateneingabe Mobilitäten'!#REF!+'Dateneingabe Mobilitäten'!X27</f>
        <v>#REF!</v>
      </c>
      <c r="S18" s="362" t="str">
        <f t="shared" si="3"/>
        <v>(0)</v>
      </c>
    </row>
    <row r="19" spans="1:19" s="362" customFormat="1" ht="7.5" customHeight="1" x14ac:dyDescent="0.2">
      <c r="A19" s="347"/>
      <c r="C19" s="361"/>
      <c r="D19" s="16"/>
      <c r="E19" s="52"/>
      <c r="F19" s="52"/>
      <c r="G19" s="52"/>
      <c r="I19" s="54"/>
      <c r="J19" s="51"/>
      <c r="K19" s="343"/>
      <c r="L19" s="343"/>
      <c r="M19" s="366"/>
      <c r="O19" s="54"/>
      <c r="P19" s="57">
        <f t="shared" si="0"/>
        <v>0</v>
      </c>
      <c r="Q19" s="51"/>
      <c r="S19" s="362" t="str">
        <f t="shared" si="3"/>
        <v>(0)</v>
      </c>
    </row>
    <row r="20" spans="1:19" s="362" customFormat="1" ht="15.75" customHeight="1" x14ac:dyDescent="0.2">
      <c r="A20" s="347"/>
      <c r="C20" s="363" t="s">
        <v>670</v>
      </c>
      <c r="D20" s="364"/>
      <c r="E20" s="102">
        <f>'Dateneingabe Mobilitäten'!F34</f>
        <v>0</v>
      </c>
      <c r="F20" s="103">
        <f>'Dateneingabe Mobilitäten'!F35</f>
        <v>0</v>
      </c>
      <c r="G20" s="116"/>
      <c r="I20" s="365"/>
      <c r="J20" s="102">
        <f>'Dateneingabe Mobilitäten'!I34</f>
        <v>0</v>
      </c>
      <c r="K20" s="338" t="str">
        <f>IF((J20-E20)&gt;0,"(+"&amp;J20-E20&amp;")",IF((J20-E20)&lt;0,"(-"&amp;(J20-E20)*-1&amp;")","(0)"))</f>
        <v>(0)</v>
      </c>
      <c r="L20" s="103">
        <f>MIN('Dateneingabe Mobilitäten'!I35,'Dateneingabe Mobilitäten'!Y36)</f>
        <v>0</v>
      </c>
      <c r="M20" s="280" t="str">
        <f>IF((L20-F20)=0,"(0)",L20-F20)</f>
        <v>(0)</v>
      </c>
      <c r="O20" s="54"/>
      <c r="P20" s="57">
        <f t="shared" si="0"/>
        <v>0</v>
      </c>
      <c r="Q20" s="18"/>
      <c r="S20" s="362" t="str">
        <f>IF((J20-E20)&gt;0,"(+"&amp;J20-E20&amp;")",IF((J20-E20)&lt;0,"(-"&amp;(J20-E20)*-1&amp;")","(0)"))</f>
        <v>(0)</v>
      </c>
    </row>
    <row r="21" spans="1:19" s="362" customFormat="1" ht="7.5" customHeight="1" x14ac:dyDescent="0.2">
      <c r="A21" s="347"/>
      <c r="C21" s="361"/>
      <c r="D21" s="16"/>
      <c r="E21" s="52"/>
      <c r="F21" s="52"/>
      <c r="G21" s="52"/>
      <c r="I21" s="54"/>
      <c r="J21" s="51"/>
      <c r="K21" s="343"/>
      <c r="L21" s="343"/>
      <c r="M21" s="366"/>
      <c r="O21" s="54"/>
      <c r="P21" s="57"/>
      <c r="Q21" s="51"/>
    </row>
    <row r="22" spans="1:19" s="362" customFormat="1" ht="15.75" customHeight="1" x14ac:dyDescent="0.2">
      <c r="A22" s="347"/>
      <c r="C22" s="363" t="s">
        <v>354</v>
      </c>
      <c r="D22" s="364"/>
      <c r="E22" s="102">
        <f>'Dateneingabe Mobilitäten'!F40</f>
        <v>0</v>
      </c>
      <c r="F22" s="103">
        <f>'Dateneingabe Mobilitäten'!F41</f>
        <v>0</v>
      </c>
      <c r="G22" s="116"/>
      <c r="I22" s="365"/>
      <c r="J22" s="102">
        <f>'Dateneingabe Mobilitäten'!I40</f>
        <v>0</v>
      </c>
      <c r="K22" s="338" t="str">
        <f>IF((J22-E22)&gt;0,"(+"&amp;J22-E22&amp;")",IF((J22-E22)&lt;0,"(-"&amp;(J22-E22)*-1&amp;")","(0)"))</f>
        <v>(0)</v>
      </c>
      <c r="L22" s="103">
        <f>'Dateneingabe Mobilitäten'!I43</f>
        <v>0</v>
      </c>
      <c r="M22" s="280" t="str">
        <f>IF((L22-F22)=0,"(0)",L22-F22)</f>
        <v>(0)</v>
      </c>
      <c r="O22" s="54"/>
      <c r="P22" s="57">
        <f>F22-L22</f>
        <v>0</v>
      </c>
      <c r="Q22" s="18">
        <f>'Dateneingabe Mobilitäten'!N42+'Dateneingabe Mobilitäten'!P42+'Dateneingabe Mobilitäten'!R42+'Dateneingabe Mobilitäten'!T42</f>
        <v>0</v>
      </c>
      <c r="S22" s="362" t="str">
        <f t="shared" si="3"/>
        <v>(0)</v>
      </c>
    </row>
    <row r="23" spans="1:19" s="362" customFormat="1" ht="36" customHeight="1" x14ac:dyDescent="0.2">
      <c r="A23" s="347"/>
      <c r="C23" s="367"/>
      <c r="D23" s="16"/>
      <c r="E23" s="282"/>
      <c r="F23" s="283"/>
      <c r="G23" s="18"/>
      <c r="I23" s="54"/>
      <c r="J23" s="675" t="str">
        <f>IF('Dateneingabe Mobilitäten'!I41&lt;'Dateneingabe Mobilitäten'!F41,"Da zum Zwischenbericht weniger Mobilitäten als bewilligt berichtet wurden, verringert sich das OS-Budget automatisch!","")</f>
        <v/>
      </c>
      <c r="K23" s="675"/>
      <c r="L23" s="675"/>
      <c r="M23" s="676"/>
      <c r="O23" s="54"/>
      <c r="P23" s="57"/>
      <c r="Q23" s="18"/>
    </row>
    <row r="24" spans="1:19" s="362" customFormat="1" ht="15.75" customHeight="1" x14ac:dyDescent="0.2">
      <c r="A24" s="347"/>
      <c r="C24" s="363" t="s">
        <v>932</v>
      </c>
      <c r="D24" s="364"/>
      <c r="E24" s="102">
        <f>'Dateneingabe Mobilitäten'!F45</f>
        <v>0</v>
      </c>
      <c r="F24" s="103">
        <f>'Dateneingabe Mobilitäten'!F46</f>
        <v>0</v>
      </c>
      <c r="G24" s="116"/>
      <c r="I24" s="365"/>
      <c r="J24" s="102">
        <f>'Dateneingabe Mobilitäten'!I45</f>
        <v>0</v>
      </c>
      <c r="K24" s="338" t="str">
        <f t="shared" ref="K24" si="4">IF((J24-E24)&gt;0,"(+"&amp;J24-E24&amp;")",IF((J24-E24)&lt;0,"(-"&amp;(J24-E24)*-1&amp;")","(0)"))</f>
        <v>(0)</v>
      </c>
      <c r="L24" s="103">
        <f>'Dateneingabe Mobilitäten'!I47</f>
        <v>0</v>
      </c>
      <c r="M24" s="280" t="str">
        <f>IF((L24-F24)=0,"(0)",L24-F24)</f>
        <v>(0)</v>
      </c>
      <c r="O24" s="54"/>
      <c r="P24" s="57">
        <f t="shared" ref="P24:P31" si="5">F24-L24</f>
        <v>0</v>
      </c>
      <c r="Q24" s="18">
        <f>'Dateneingabe Mobilitäten'!M47+'Dateneingabe Mobilitäten'!O47+'Dateneingabe Mobilitäten'!Q47+'Dateneingabe Mobilitäten'!S47</f>
        <v>0</v>
      </c>
      <c r="S24" s="362" t="str">
        <f t="shared" si="3"/>
        <v>(0)</v>
      </c>
    </row>
    <row r="25" spans="1:19" s="362" customFormat="1" ht="10.5" customHeight="1" x14ac:dyDescent="0.2">
      <c r="A25" s="347"/>
      <c r="C25" s="361"/>
      <c r="D25" s="380"/>
      <c r="E25" s="52"/>
      <c r="F25" s="18"/>
      <c r="G25" s="18"/>
      <c r="I25" s="54"/>
      <c r="J25" s="52"/>
      <c r="K25" s="447"/>
      <c r="L25" s="448"/>
      <c r="M25" s="449"/>
      <c r="O25" s="54"/>
      <c r="P25" s="57"/>
      <c r="Q25" s="18"/>
    </row>
    <row r="26" spans="1:19" s="362" customFormat="1" ht="12" customHeight="1" x14ac:dyDescent="0.2">
      <c r="A26" s="347"/>
      <c r="C26" s="361"/>
      <c r="D26" s="16"/>
      <c r="E26" s="28" t="s">
        <v>691</v>
      </c>
      <c r="F26" s="450" t="s">
        <v>114</v>
      </c>
      <c r="G26" s="18"/>
      <c r="I26" s="54"/>
      <c r="J26" s="635" t="s">
        <v>691</v>
      </c>
      <c r="K26" s="635"/>
      <c r="L26" s="636" t="s">
        <v>114</v>
      </c>
      <c r="M26" s="637"/>
      <c r="O26" s="54"/>
      <c r="P26" s="57" t="e">
        <f t="shared" si="5"/>
        <v>#VALUE!</v>
      </c>
      <c r="Q26" s="18"/>
      <c r="S26" s="362" t="e">
        <f t="shared" si="3"/>
        <v>#VALUE!</v>
      </c>
    </row>
    <row r="27" spans="1:19" s="362" customFormat="1" ht="15.75" customHeight="1" x14ac:dyDescent="0.2">
      <c r="A27" s="347"/>
      <c r="C27" s="363" t="s">
        <v>926</v>
      </c>
      <c r="D27" s="364"/>
      <c r="E27" s="102">
        <f>'Dateneingabe Mobilitäten'!F52</f>
        <v>0</v>
      </c>
      <c r="F27" s="103">
        <f>'Dateneingabe Mobilitäten'!F54</f>
        <v>0</v>
      </c>
      <c r="G27" s="116"/>
      <c r="I27" s="365"/>
      <c r="J27" s="102">
        <f>'Dateneingabe Mobilitäten'!I52</f>
        <v>0</v>
      </c>
      <c r="K27" s="381" t="str">
        <f t="shared" ref="K27:K32" si="6">IF((J27-E27)&gt;0,"(+"&amp;J27-E27&amp;")",IF((J27-E27)&lt;0,"(-"&amp;(J27-E27)*-1&amp;")","(0)"))</f>
        <v>(0)</v>
      </c>
      <c r="L27" s="103">
        <f>'Dateneingabe Mobilitäten'!I54</f>
        <v>0</v>
      </c>
      <c r="M27" s="280" t="str">
        <f>IF((L27-F27)=0,"(0)",L27-F27)</f>
        <v>(0)</v>
      </c>
      <c r="O27" s="54"/>
      <c r="P27" s="57">
        <f t="shared" si="5"/>
        <v>0</v>
      </c>
      <c r="Q27" s="18">
        <f>'Dateneingabe Mobilitäten'!N54+'Dateneingabe Mobilitäten'!P54+'Dateneingabe Mobilitäten'!R54+'Dateneingabe Mobilitäten'!T54</f>
        <v>0</v>
      </c>
      <c r="S27" s="362" t="str">
        <f t="shared" si="3"/>
        <v>(0)</v>
      </c>
    </row>
    <row r="28" spans="1:19" s="362" customFormat="1" ht="15.75" customHeight="1" x14ac:dyDescent="0.2">
      <c r="A28" s="347"/>
      <c r="C28" s="363" t="s">
        <v>927</v>
      </c>
      <c r="D28" s="364"/>
      <c r="E28" s="102">
        <f>'Dateneingabe Mobilitäten'!F56</f>
        <v>0</v>
      </c>
      <c r="F28" s="103">
        <f>'Dateneingabe Mobilitäten'!F58</f>
        <v>0</v>
      </c>
      <c r="G28" s="116"/>
      <c r="I28" s="365"/>
      <c r="J28" s="102">
        <f>'Dateneingabe Mobilitäten'!I56</f>
        <v>0</v>
      </c>
      <c r="K28" s="381" t="str">
        <f t="shared" si="6"/>
        <v>(0)</v>
      </c>
      <c r="L28" s="103">
        <f>'Dateneingabe Mobilitäten'!I58</f>
        <v>0</v>
      </c>
      <c r="M28" s="280" t="str">
        <f t="shared" ref="M28:M31" si="7">IF((L28-F28)=0,"(0)",L28-F28)</f>
        <v>(0)</v>
      </c>
      <c r="O28" s="54"/>
      <c r="P28" s="57">
        <f t="shared" si="5"/>
        <v>0</v>
      </c>
      <c r="Q28" s="18">
        <f>'Dateneingabe Mobilitäten'!N58+'Dateneingabe Mobilitäten'!P58+'Dateneingabe Mobilitäten'!R58+'Dateneingabe Mobilitäten'!T58</f>
        <v>0</v>
      </c>
      <c r="S28" s="362" t="str">
        <f t="shared" si="3"/>
        <v>(0)</v>
      </c>
    </row>
    <row r="29" spans="1:19" s="362" customFormat="1" ht="15.75" customHeight="1" x14ac:dyDescent="0.2">
      <c r="A29" s="347"/>
      <c r="C29" s="363" t="s">
        <v>928</v>
      </c>
      <c r="D29" s="364"/>
      <c r="E29" s="102">
        <f>'Dateneingabe Mobilitäten'!F60</f>
        <v>0</v>
      </c>
      <c r="F29" s="103">
        <f>'Dateneingabe Mobilitäten'!F62</f>
        <v>0</v>
      </c>
      <c r="G29" s="116"/>
      <c r="I29" s="365"/>
      <c r="J29" s="102">
        <f>'Dateneingabe Mobilitäten'!I60</f>
        <v>0</v>
      </c>
      <c r="K29" s="381" t="str">
        <f t="shared" si="6"/>
        <v>(0)</v>
      </c>
      <c r="L29" s="103">
        <f>'Dateneingabe Mobilitäten'!I62</f>
        <v>0</v>
      </c>
      <c r="M29" s="280" t="str">
        <f t="shared" si="7"/>
        <v>(0)</v>
      </c>
      <c r="O29" s="54"/>
      <c r="P29" s="57">
        <f t="shared" si="5"/>
        <v>0</v>
      </c>
      <c r="Q29" s="18">
        <f>'Dateneingabe Mobilitäten'!N62+'Dateneingabe Mobilitäten'!P62+'Dateneingabe Mobilitäten'!R62+'Dateneingabe Mobilitäten'!T62</f>
        <v>0</v>
      </c>
      <c r="S29" s="362" t="str">
        <f t="shared" si="3"/>
        <v>(0)</v>
      </c>
    </row>
    <row r="30" spans="1:19" s="362" customFormat="1" ht="15.75" customHeight="1" x14ac:dyDescent="0.2">
      <c r="A30" s="347"/>
      <c r="C30" s="363" t="s">
        <v>929</v>
      </c>
      <c r="D30" s="364"/>
      <c r="E30" s="102">
        <f>'Dateneingabe Mobilitäten'!F64</f>
        <v>0</v>
      </c>
      <c r="F30" s="103">
        <f>'Dateneingabe Mobilitäten'!F66</f>
        <v>0</v>
      </c>
      <c r="G30" s="116"/>
      <c r="I30" s="365"/>
      <c r="J30" s="102">
        <f>'Dateneingabe Mobilitäten'!I64</f>
        <v>0</v>
      </c>
      <c r="K30" s="381" t="str">
        <f t="shared" si="6"/>
        <v>(0)</v>
      </c>
      <c r="L30" s="103">
        <f>'Dateneingabe Mobilitäten'!I66</f>
        <v>0</v>
      </c>
      <c r="M30" s="280" t="str">
        <f t="shared" si="7"/>
        <v>(0)</v>
      </c>
      <c r="O30" s="54"/>
      <c r="P30" s="57">
        <f t="shared" si="5"/>
        <v>0</v>
      </c>
      <c r="Q30" s="18">
        <f>'Dateneingabe Mobilitäten'!N66+'Dateneingabe Mobilitäten'!P66+'Dateneingabe Mobilitäten'!R66+'Dateneingabe Mobilitäten'!T66</f>
        <v>0</v>
      </c>
      <c r="S30" s="362" t="str">
        <f t="shared" si="3"/>
        <v>(0)</v>
      </c>
    </row>
    <row r="31" spans="1:19" s="362" customFormat="1" ht="15.75" customHeight="1" x14ac:dyDescent="0.2">
      <c r="A31" s="347"/>
      <c r="C31" s="363" t="s">
        <v>930</v>
      </c>
      <c r="D31" s="364"/>
      <c r="E31" s="102">
        <f>'Dateneingabe Mobilitäten'!F68</f>
        <v>0</v>
      </c>
      <c r="F31" s="103">
        <f>'Dateneingabe Mobilitäten'!F70</f>
        <v>0</v>
      </c>
      <c r="G31" s="116"/>
      <c r="I31" s="365"/>
      <c r="J31" s="102">
        <f>'Dateneingabe Mobilitäten'!I68</f>
        <v>0</v>
      </c>
      <c r="K31" s="381" t="str">
        <f t="shared" si="6"/>
        <v>(0)</v>
      </c>
      <c r="L31" s="103">
        <f>'Dateneingabe Mobilitäten'!I70</f>
        <v>0</v>
      </c>
      <c r="M31" s="280" t="str">
        <f t="shared" si="7"/>
        <v>(0)</v>
      </c>
      <c r="O31" s="54"/>
      <c r="P31" s="57">
        <f t="shared" si="5"/>
        <v>0</v>
      </c>
      <c r="Q31" s="18">
        <f>'Dateneingabe Mobilitäten'!N66+'Dateneingabe Mobilitäten'!P66+'Dateneingabe Mobilitäten'!R66+'Dateneingabe Mobilitäten'!T66</f>
        <v>0</v>
      </c>
      <c r="S31" s="362" t="str">
        <f t="shared" si="3"/>
        <v>(0)</v>
      </c>
    </row>
    <row r="32" spans="1:19" s="362" customFormat="1" ht="15.75" customHeight="1" x14ac:dyDescent="0.2">
      <c r="A32" s="347"/>
      <c r="C32" s="363" t="s">
        <v>931</v>
      </c>
      <c r="D32" s="364"/>
      <c r="E32" s="102">
        <f>'Dateneingabe Mobilitäten'!F72</f>
        <v>0</v>
      </c>
      <c r="F32" s="103">
        <f>'Dateneingabe Mobilitäten'!F74</f>
        <v>0</v>
      </c>
      <c r="G32" s="116"/>
      <c r="I32" s="365"/>
      <c r="J32" s="102">
        <f>'Dateneingabe Mobilitäten'!I72</f>
        <v>0</v>
      </c>
      <c r="K32" s="381" t="str">
        <f t="shared" si="6"/>
        <v>(0)</v>
      </c>
      <c r="L32" s="103">
        <f>'Dateneingabe Mobilitäten'!I74</f>
        <v>0</v>
      </c>
      <c r="M32" s="280" t="str">
        <f t="shared" ref="M32" si="8">IF((L32-F32)=0,"(0)",L32-F32)</f>
        <v>(0)</v>
      </c>
      <c r="O32" s="54"/>
      <c r="P32" s="57"/>
      <c r="Q32" s="18"/>
    </row>
    <row r="33" spans="1:24" s="362" customFormat="1" ht="7.5" customHeight="1" thickBot="1" x14ac:dyDescent="0.25">
      <c r="A33" s="347"/>
      <c r="C33" s="361"/>
      <c r="D33" s="16"/>
      <c r="E33" s="16"/>
      <c r="F33" s="16"/>
      <c r="G33" s="16"/>
      <c r="H33" s="16"/>
      <c r="I33" s="54"/>
      <c r="J33" s="99"/>
      <c r="K33" s="99"/>
      <c r="L33" s="99"/>
      <c r="M33" s="101"/>
      <c r="N33" s="99"/>
      <c r="O33" s="54"/>
      <c r="P33" s="55"/>
      <c r="S33" s="362" t="str">
        <f t="shared" si="3"/>
        <v>(0)</v>
      </c>
    </row>
    <row r="34" spans="1:24" s="362" customFormat="1" ht="15.75" customHeight="1" thickBot="1" x14ac:dyDescent="0.25">
      <c r="A34" s="347"/>
      <c r="C34" s="368" t="s">
        <v>115</v>
      </c>
      <c r="D34" s="369"/>
      <c r="E34" s="121"/>
      <c r="F34" s="104">
        <f>SUM(F15:F32)</f>
        <v>0</v>
      </c>
      <c r="G34" s="117"/>
      <c r="H34" s="118"/>
      <c r="I34" s="370"/>
      <c r="J34" s="119"/>
      <c r="K34" s="120"/>
      <c r="L34" s="104">
        <f>SUM(L15:L32)</f>
        <v>0</v>
      </c>
      <c r="M34" s="281" t="str">
        <f>IF((L34-F34)=0,"(0)",L34-F34)</f>
        <v>(0)</v>
      </c>
      <c r="N34" s="18"/>
      <c r="O34" s="57"/>
      <c r="P34" s="57">
        <f>M34-F34</f>
        <v>0</v>
      </c>
      <c r="S34" s="362" t="str">
        <f t="shared" si="3"/>
        <v>(0)</v>
      </c>
    </row>
    <row r="35" spans="1:24" s="362" customFormat="1" ht="6" customHeight="1" x14ac:dyDescent="0.2">
      <c r="A35" s="347"/>
      <c r="B35" s="16"/>
      <c r="C35" s="16"/>
      <c r="D35" s="16"/>
      <c r="E35" s="16"/>
      <c r="F35" s="16"/>
      <c r="G35" s="16"/>
      <c r="H35" s="16"/>
      <c r="I35" s="17"/>
      <c r="J35" s="17"/>
      <c r="K35" s="17"/>
      <c r="L35" s="17"/>
      <c r="M35" s="56"/>
      <c r="N35" s="56"/>
      <c r="O35" s="57"/>
      <c r="P35" s="54"/>
    </row>
    <row r="36" spans="1:24" ht="15.75" x14ac:dyDescent="0.25">
      <c r="A36" s="349"/>
      <c r="B36" s="351" t="s">
        <v>384</v>
      </c>
      <c r="C36" s="352"/>
      <c r="D36" s="352"/>
      <c r="E36" s="353"/>
      <c r="F36" s="354"/>
      <c r="G36" s="354"/>
      <c r="H36" s="354"/>
      <c r="I36" s="354"/>
      <c r="J36" s="354"/>
      <c r="K36" s="354"/>
      <c r="L36" s="354"/>
      <c r="M36" s="353"/>
      <c r="N36" s="12"/>
    </row>
    <row r="37" spans="1:24" s="362" customFormat="1" ht="6.75" customHeight="1" x14ac:dyDescent="0.2">
      <c r="A37" s="347"/>
      <c r="B37" s="16"/>
      <c r="C37" s="16"/>
      <c r="D37" s="16"/>
      <c r="E37" s="16"/>
      <c r="F37" s="16"/>
      <c r="G37" s="16"/>
      <c r="H37" s="16"/>
      <c r="I37" s="17"/>
      <c r="J37" s="17"/>
      <c r="K37" s="17"/>
      <c r="L37" s="17"/>
      <c r="M37" s="56"/>
      <c r="N37" s="56"/>
      <c r="O37" s="57"/>
      <c r="P37" s="54"/>
      <c r="X37" s="456"/>
    </row>
    <row r="38" spans="1:24" s="362" customFormat="1" ht="15.75" customHeight="1" x14ac:dyDescent="0.2">
      <c r="A38" s="347"/>
      <c r="B38" s="16"/>
      <c r="C38" s="371" t="s">
        <v>349</v>
      </c>
      <c r="D38" s="16"/>
      <c r="E38" s="279">
        <f>'Dateneingabe Mobilitäten'!Z7*-1</f>
        <v>0</v>
      </c>
      <c r="F38" s="632" t="str">
        <f>IF(E38&lt;-0.01, "Verzicht",IF(E38&gt;0.00001,"Antrag auf Zusatzmittel",""))</f>
        <v/>
      </c>
      <c r="G38" s="633"/>
      <c r="H38" s="633"/>
      <c r="I38" s="634"/>
      <c r="J38" s="153"/>
      <c r="K38" s="17"/>
      <c r="L38" s="17"/>
      <c r="M38" s="109"/>
      <c r="P38" s="362">
        <f>IF(OR(M38="bestätigen",M38=""),E38,0)</f>
        <v>0</v>
      </c>
    </row>
    <row r="39" spans="1:24" s="362" customFormat="1" ht="15.75" customHeight="1" x14ac:dyDescent="0.2">
      <c r="A39" s="347"/>
      <c r="B39" s="16"/>
      <c r="C39" s="371" t="s">
        <v>351</v>
      </c>
      <c r="D39" s="16"/>
      <c r="E39" s="279">
        <f>'Dateneingabe Mobilitäten'!Z12*-1</f>
        <v>0</v>
      </c>
      <c r="F39" s="632" t="str">
        <f>IF(E39&lt;-0.01, "Verzicht",IF(E39&gt;0.00001,"Antrag auf Zusatzmittel",""))</f>
        <v/>
      </c>
      <c r="G39" s="633"/>
      <c r="H39" s="633"/>
      <c r="I39" s="634"/>
      <c r="J39" s="153"/>
      <c r="K39" s="17"/>
      <c r="L39" s="17"/>
      <c r="M39" s="109"/>
      <c r="P39" s="362">
        <f>IF(OR(M39="bestätigen",M39=""),E39,0)</f>
        <v>0</v>
      </c>
      <c r="R39" s="372" t="s">
        <v>408</v>
      </c>
    </row>
    <row r="40" spans="1:24" s="362" customFormat="1" ht="15.75" customHeight="1" x14ac:dyDescent="0.2">
      <c r="A40" s="347"/>
      <c r="B40" s="16"/>
      <c r="C40" s="371" t="s">
        <v>3</v>
      </c>
      <c r="D40" s="16"/>
      <c r="E40" s="279">
        <f>'Dateneingabe Mobilitäten'!Z22*-1</f>
        <v>0</v>
      </c>
      <c r="F40" s="632" t="str">
        <f>IF(E40&lt;-0.01, "Verzicht",IF(E40&gt;0.00001,"Antrag auf Zusatzmittel",""))</f>
        <v/>
      </c>
      <c r="G40" s="633"/>
      <c r="H40" s="633"/>
      <c r="I40" s="634"/>
      <c r="J40" s="153"/>
      <c r="K40" s="17"/>
      <c r="L40" s="17"/>
      <c r="M40" s="109"/>
      <c r="P40" s="362">
        <f>IF(OR(M40="bestätigen",M40=""),E40,0)</f>
        <v>0</v>
      </c>
      <c r="R40" s="372" t="s">
        <v>409</v>
      </c>
    </row>
    <row r="41" spans="1:24" s="362" customFormat="1" ht="15.75" customHeight="1" x14ac:dyDescent="0.2">
      <c r="A41" s="347"/>
      <c r="B41" s="16"/>
      <c r="C41" s="371" t="s">
        <v>4</v>
      </c>
      <c r="D41" s="16"/>
      <c r="E41" s="279">
        <f>'Dateneingabe Mobilitäten'!Z27*-1</f>
        <v>0</v>
      </c>
      <c r="F41" s="632" t="str">
        <f>IF(E41&lt;-0.01, "Verzicht",IF(E41&gt;0.00001,"Antrag auf Zusatzmittel",""))</f>
        <v/>
      </c>
      <c r="G41" s="633"/>
      <c r="H41" s="633"/>
      <c r="I41" s="634"/>
      <c r="J41" s="153"/>
      <c r="K41" s="17"/>
      <c r="L41" s="17"/>
      <c r="M41" s="109"/>
      <c r="P41" s="362">
        <f>IF(OR(M41="bestätigen",M41=""),E41,0)</f>
        <v>0</v>
      </c>
      <c r="R41" s="372" t="s">
        <v>410</v>
      </c>
    </row>
    <row r="42" spans="1:24" s="362" customFormat="1" ht="7.5" customHeight="1" x14ac:dyDescent="0.2">
      <c r="A42" s="347"/>
      <c r="B42" s="16"/>
      <c r="C42" s="16"/>
      <c r="D42" s="16"/>
      <c r="E42" s="105"/>
      <c r="F42" s="28"/>
      <c r="G42" s="28"/>
      <c r="H42" s="28"/>
      <c r="I42" s="17"/>
      <c r="J42" s="153"/>
      <c r="K42" s="17"/>
      <c r="L42" s="17"/>
      <c r="M42" s="326"/>
    </row>
    <row r="43" spans="1:24" s="362" customFormat="1" ht="15.75" customHeight="1" x14ac:dyDescent="0.2">
      <c r="A43" s="347"/>
      <c r="B43" s="16"/>
      <c r="C43" s="371" t="s">
        <v>670</v>
      </c>
      <c r="D43" s="16"/>
      <c r="E43" s="279">
        <f>'Dateneingabe Mobilitäten'!AB34*-1</f>
        <v>0</v>
      </c>
      <c r="F43" s="632" t="str">
        <f>IF(E43&lt;-0.01,"Verzicht","")</f>
        <v/>
      </c>
      <c r="G43" s="633"/>
      <c r="H43" s="633"/>
      <c r="I43" s="634"/>
      <c r="J43" s="153"/>
      <c r="K43" s="17"/>
      <c r="L43" s="17"/>
      <c r="M43" s="109"/>
      <c r="R43" s="372"/>
    </row>
    <row r="44" spans="1:24" s="362" customFormat="1" ht="7.5" customHeight="1" x14ac:dyDescent="0.2">
      <c r="A44" s="347"/>
      <c r="B44" s="16"/>
      <c r="C44" s="16"/>
      <c r="D44" s="16"/>
      <c r="E44" s="105"/>
      <c r="F44" s="28"/>
      <c r="G44" s="28"/>
      <c r="H44" s="28"/>
      <c r="I44" s="17"/>
      <c r="J44" s="153"/>
      <c r="K44" s="17"/>
      <c r="L44" s="17"/>
      <c r="M44" s="326"/>
    </row>
    <row r="45" spans="1:24" s="362" customFormat="1" ht="15.75" customHeight="1" x14ac:dyDescent="0.2">
      <c r="A45" s="347"/>
      <c r="B45" s="16"/>
      <c r="C45" s="371" t="s">
        <v>354</v>
      </c>
      <c r="D45" s="16"/>
      <c r="E45" s="279">
        <f>'Dateneingabe Mobilitäten'!Z42*-1</f>
        <v>0</v>
      </c>
      <c r="F45" s="632" t="str">
        <f>IF(E45&lt;-0.01, "Verzicht",IF(E45&gt;0.00001,"Antrag auf Zusatzmittel",""))</f>
        <v/>
      </c>
      <c r="G45" s="633"/>
      <c r="H45" s="633"/>
      <c r="I45" s="634"/>
      <c r="J45" s="153"/>
      <c r="K45" s="17"/>
      <c r="L45" s="17"/>
      <c r="M45" s="109"/>
      <c r="P45" s="362">
        <f>IF(OR(M45="bestätigen",M45=""),E45,0)</f>
        <v>0</v>
      </c>
      <c r="R45" s="372" t="s">
        <v>411</v>
      </c>
    </row>
    <row r="46" spans="1:24" s="362" customFormat="1" ht="7.5" customHeight="1" x14ac:dyDescent="0.2">
      <c r="A46" s="347"/>
      <c r="B46" s="442"/>
      <c r="C46" s="442"/>
      <c r="D46" s="442"/>
      <c r="E46" s="105"/>
      <c r="F46" s="28"/>
      <c r="G46" s="28"/>
      <c r="H46" s="28"/>
      <c r="I46" s="28"/>
      <c r="J46" s="153"/>
      <c r="K46" s="17"/>
      <c r="L46" s="17"/>
      <c r="M46" s="109"/>
      <c r="R46" s="372"/>
    </row>
    <row r="47" spans="1:24" s="362" customFormat="1" ht="15.75" customHeight="1" x14ac:dyDescent="0.2">
      <c r="A47" s="347"/>
      <c r="B47" s="442"/>
      <c r="C47" s="371" t="s">
        <v>932</v>
      </c>
      <c r="D47" s="442"/>
      <c r="E47" s="279">
        <f>('Dateneingabe Mobilitäten'!Z47)*-1</f>
        <v>0</v>
      </c>
      <c r="F47" s="632" t="str">
        <f>IF(E47&lt;-0.01, "Verzicht","")</f>
        <v/>
      </c>
      <c r="G47" s="633"/>
      <c r="H47" s="633"/>
      <c r="I47" s="634"/>
      <c r="J47" s="153"/>
      <c r="K47" s="17"/>
      <c r="L47" s="17"/>
      <c r="M47" s="109"/>
      <c r="P47" s="362">
        <f>IF(OR(M47="bestätigen",M47=""),E47,0)</f>
        <v>0</v>
      </c>
      <c r="R47" s="372" t="s">
        <v>411</v>
      </c>
    </row>
    <row r="48" spans="1:24" s="362" customFormat="1" ht="7.5" customHeight="1" x14ac:dyDescent="0.2">
      <c r="A48" s="347"/>
      <c r="B48" s="16"/>
      <c r="C48" s="16"/>
      <c r="D48" s="16"/>
      <c r="E48" s="105"/>
      <c r="F48" s="380"/>
      <c r="G48" s="28"/>
      <c r="H48" s="28"/>
      <c r="I48" s="17"/>
      <c r="J48" s="153"/>
      <c r="K48" s="17"/>
      <c r="L48" s="17"/>
      <c r="M48" s="326"/>
      <c r="R48" s="372"/>
    </row>
    <row r="49" spans="1:18" s="362" customFormat="1" ht="15.75" customHeight="1" x14ac:dyDescent="0.2">
      <c r="A49" s="347"/>
      <c r="B49" s="16"/>
      <c r="C49" s="371" t="s">
        <v>510</v>
      </c>
      <c r="D49" s="16"/>
      <c r="E49" s="279">
        <f>('Dateneingabe Mobilitäten'!Z54+'Dateneingabe Mobilitäten'!Z58+'Dateneingabe Mobilitäten'!Z62+'Dateneingabe Mobilitäten'!Z66+'Dateneingabe Mobilitäten'!Z70+'Dateneingabe Mobilitäten'!Z74)*-1+BIPs_NEU[[#Totals],[Beantragter Betrag]]</f>
        <v>0</v>
      </c>
      <c r="F49" s="632" t="str">
        <f>IF(E49&lt;-0.01, "Verzicht",IF(E49&gt;0.00001,"Antrag auf Zusatzmittel",""))</f>
        <v/>
      </c>
      <c r="G49" s="633"/>
      <c r="H49" s="633"/>
      <c r="I49" s="634"/>
      <c r="J49" s="630" t="str">
        <f>IF('Dateneingabe zusätzliche BIPs'!C27=0,"",'Dateneingabe zusätzliche BIPs'!B27&amp;" (€ "&amp;TEXT('Dateneingabe zusätzliche BIPs'!E27,"#.##0,00")&amp;")")</f>
        <v/>
      </c>
      <c r="K49" s="631"/>
      <c r="L49" s="631"/>
      <c r="M49" s="631"/>
      <c r="P49" s="362">
        <f>IF(OR(M49="bestätigen",M49=""),E49,0)</f>
        <v>0</v>
      </c>
      <c r="R49" s="372"/>
    </row>
    <row r="50" spans="1:18" s="362" customFormat="1" ht="7.5" customHeight="1" x14ac:dyDescent="0.2">
      <c r="A50" s="347"/>
      <c r="B50" s="16"/>
      <c r="C50" s="16"/>
      <c r="D50" s="16"/>
      <c r="E50" s="105"/>
      <c r="F50" s="380"/>
      <c r="G50" s="28"/>
      <c r="H50" s="28"/>
      <c r="I50" s="17"/>
      <c r="J50" s="153"/>
      <c r="K50" s="17"/>
      <c r="L50" s="17"/>
      <c r="M50" s="326"/>
      <c r="R50" s="372"/>
    </row>
    <row r="51" spans="1:18" s="362" customFormat="1" ht="15.75" customHeight="1" x14ac:dyDescent="0.2">
      <c r="A51" s="347"/>
      <c r="B51" s="16"/>
      <c r="C51" s="371" t="s">
        <v>115</v>
      </c>
      <c r="D51" s="16"/>
      <c r="E51" s="279">
        <f>E38+E39+E40+E41+E43+E45+E47+E49</f>
        <v>0</v>
      </c>
      <c r="F51" s="632" t="str">
        <f>IF(E51&lt;-0.01, "Verzicht",IF(E51&gt;0.00001,"Antrag auf Zusatzmittel",""))</f>
        <v/>
      </c>
      <c r="G51" s="633"/>
      <c r="H51" s="633"/>
      <c r="I51" s="634"/>
      <c r="J51" s="153">
        <f>SUM(J38:J49)</f>
        <v>0</v>
      </c>
      <c r="K51" s="17"/>
      <c r="L51" s="17"/>
      <c r="M51" s="326"/>
      <c r="N51" s="56"/>
      <c r="P51" s="362">
        <f>SUM(P38:P49)</f>
        <v>0</v>
      </c>
      <c r="Q51" s="373">
        <f>P34-J51</f>
        <v>0</v>
      </c>
    </row>
    <row r="52" spans="1:18" ht="6" customHeight="1" x14ac:dyDescent="0.2">
      <c r="A52" s="347"/>
      <c r="B52" s="16"/>
      <c r="C52" s="16"/>
      <c r="D52" s="16"/>
      <c r="E52" s="16"/>
      <c r="F52" s="346"/>
      <c r="G52" s="346"/>
      <c r="H52" s="346"/>
      <c r="I52" s="346"/>
      <c r="J52" s="346"/>
      <c r="K52" s="346"/>
      <c r="L52" s="346"/>
      <c r="M52" s="346"/>
      <c r="N52" s="346"/>
      <c r="O52" s="12"/>
      <c r="P52" s="12"/>
    </row>
    <row r="53" spans="1:18" ht="15.75" x14ac:dyDescent="0.25">
      <c r="A53" s="349"/>
      <c r="B53" s="351" t="s">
        <v>385</v>
      </c>
      <c r="C53" s="352"/>
      <c r="D53" s="352"/>
      <c r="E53" s="353"/>
      <c r="F53" s="354"/>
      <c r="G53" s="354"/>
      <c r="H53" s="354"/>
      <c r="I53" s="354"/>
      <c r="J53" s="354"/>
      <c r="K53" s="354"/>
      <c r="L53" s="354"/>
      <c r="M53" s="353"/>
      <c r="N53" s="12"/>
    </row>
    <row r="54" spans="1:18" ht="6" customHeight="1" x14ac:dyDescent="0.2">
      <c r="A54" s="349"/>
      <c r="B54" s="660" t="str">
        <f>IF(E51&gt;0,"Hiermit werden die in diesem Zwischenbericht (inkl. Annex) gemachten Angaben zur Anzahl der Mobilitäten, Dauer und dem Budget,  sowie die daraus resultierenden finanziellen Änderungen (Antrag auf Zusatzmittel in der Höhe von € "&amp;TEXT(E51,"# ##0,00")&amp;") bestätigt. Die Angaben sind zum Stichtag "&amp;TEXT(Steuerung!O3,"TT.MM.JJJJ")&amp;" gemacht.",IF(E51&lt;0,"Hiermit werden die in diesem Zwischenbericht (inkl. Annex) gemachten Angaben zur Anzahl der Mobilitäten, Dauer und dem Budget,  sowie die daraus resultierenden finanziellen Änderungen (V e r z i c h t  auf Budgetmittel in der Höhe von  € "&amp;TEXT((E51*-1),"# ##0,00")&amp;") bestätigt.
Die Angaben sind zum Stichtag "&amp;TEXT(Steuerung!O3,"TT.MM.JJJJ")&amp;" gemacht.","Hiermit werden die in diesem Zwischenbericht (inkl. Annex) gemachten Angaben zur Anzahl der Mobilitäten, Dauer und dem Budget (Es ergibt sich keine Änderung des Budgets) bestätigt. Die Angaben sind zum Stichtag "&amp;TEXT(Steuerung!O3,"TT.MM.JJJJ")&amp;" gemacht."))</f>
        <v>Hiermit werden die in diesem Zwischenbericht (inkl. Annex) gemachten Angaben zur Anzahl der Mobilitäten, Dauer und dem Budget (Es ergibt sich keine Änderung des Budgets) bestätigt. Die Angaben sind zum Stichtag 30.09.2022 gemacht.</v>
      </c>
      <c r="C54" s="661"/>
      <c r="D54" s="661"/>
      <c r="E54" s="661"/>
      <c r="F54" s="661"/>
      <c r="G54" s="661"/>
      <c r="H54" s="661"/>
      <c r="I54" s="661"/>
      <c r="J54" s="661"/>
      <c r="K54" s="661"/>
      <c r="L54" s="661"/>
      <c r="M54" s="662"/>
      <c r="N54" s="374"/>
      <c r="O54" s="375"/>
      <c r="P54" s="375"/>
    </row>
    <row r="55" spans="1:18" ht="12.75" customHeight="1" x14ac:dyDescent="0.2">
      <c r="A55" s="349"/>
      <c r="B55" s="663"/>
      <c r="C55" s="664"/>
      <c r="D55" s="664"/>
      <c r="E55" s="664"/>
      <c r="F55" s="664"/>
      <c r="G55" s="664"/>
      <c r="H55" s="664"/>
      <c r="I55" s="664"/>
      <c r="J55" s="664"/>
      <c r="K55" s="664"/>
      <c r="L55" s="664"/>
      <c r="M55" s="665"/>
      <c r="N55" s="374"/>
      <c r="O55" s="375"/>
      <c r="P55" s="375"/>
    </row>
    <row r="56" spans="1:18" ht="15.75" customHeight="1" x14ac:dyDescent="0.2">
      <c r="A56" s="349"/>
      <c r="B56" s="663"/>
      <c r="C56" s="664"/>
      <c r="D56" s="664"/>
      <c r="E56" s="664"/>
      <c r="F56" s="664"/>
      <c r="G56" s="664"/>
      <c r="H56" s="664"/>
      <c r="I56" s="664"/>
      <c r="J56" s="664"/>
      <c r="K56" s="664"/>
      <c r="L56" s="664"/>
      <c r="M56" s="665"/>
      <c r="N56" s="374"/>
      <c r="O56" s="375"/>
      <c r="P56" s="375"/>
    </row>
    <row r="57" spans="1:18" ht="21.75" customHeight="1" x14ac:dyDescent="0.2">
      <c r="A57" s="347"/>
      <c r="B57" s="666"/>
      <c r="C57" s="667"/>
      <c r="D57" s="667"/>
      <c r="E57" s="667"/>
      <c r="F57" s="667"/>
      <c r="G57" s="667"/>
      <c r="H57" s="667"/>
      <c r="I57" s="667"/>
      <c r="J57" s="667"/>
      <c r="K57" s="667"/>
      <c r="L57" s="667"/>
      <c r="M57" s="668"/>
      <c r="N57" s="374"/>
    </row>
    <row r="58" spans="1:18" ht="4.5" customHeight="1" x14ac:dyDescent="0.2">
      <c r="A58" s="349"/>
      <c r="B58" s="14"/>
      <c r="C58" s="14"/>
      <c r="D58" s="14"/>
      <c r="E58" s="14"/>
      <c r="F58" s="14"/>
      <c r="G58" s="14"/>
      <c r="H58" s="14"/>
      <c r="I58" s="14"/>
      <c r="J58" s="14"/>
      <c r="K58" s="14"/>
      <c r="L58" s="14"/>
      <c r="M58" s="14"/>
      <c r="N58" s="14"/>
    </row>
    <row r="59" spans="1:18" ht="13.5" customHeight="1" x14ac:dyDescent="0.2">
      <c r="A59" s="349"/>
      <c r="B59" s="672"/>
      <c r="C59" s="672"/>
      <c r="D59" s="672"/>
      <c r="E59" s="672"/>
      <c r="F59" s="27"/>
      <c r="G59" s="27"/>
      <c r="H59" s="27"/>
      <c r="I59" s="27"/>
      <c r="J59" s="27"/>
      <c r="K59" s="27"/>
      <c r="L59" s="27"/>
      <c r="M59" s="27"/>
      <c r="N59" s="27"/>
    </row>
    <row r="60" spans="1:18" ht="4.5" customHeight="1" x14ac:dyDescent="0.2">
      <c r="A60" s="349"/>
      <c r="B60" s="27"/>
      <c r="C60" s="27"/>
      <c r="D60" s="27"/>
      <c r="E60" s="27"/>
      <c r="F60" s="27"/>
      <c r="G60" s="27"/>
      <c r="H60" s="27"/>
      <c r="I60" s="27"/>
      <c r="J60" s="27"/>
      <c r="K60" s="27"/>
      <c r="L60" s="27"/>
      <c r="M60" s="27"/>
      <c r="N60" s="27"/>
    </row>
    <row r="61" spans="1:18" ht="16.5" customHeight="1" x14ac:dyDescent="0.2">
      <c r="A61" s="349"/>
      <c r="B61" s="340"/>
      <c r="C61" s="340"/>
      <c r="D61" s="340"/>
      <c r="E61" s="340"/>
      <c r="F61" s="14"/>
      <c r="G61" s="14"/>
      <c r="H61" s="14"/>
      <c r="I61" s="340"/>
      <c r="J61" s="340"/>
      <c r="K61" s="340"/>
      <c r="L61" s="340"/>
      <c r="M61" s="340"/>
      <c r="N61" s="340"/>
    </row>
    <row r="62" spans="1:18" ht="9" customHeight="1" x14ac:dyDescent="0.2">
      <c r="A62" s="349"/>
      <c r="B62" s="14"/>
      <c r="C62" s="14"/>
      <c r="D62" s="14"/>
      <c r="E62" s="14"/>
      <c r="F62" s="12"/>
      <c r="G62" s="12"/>
      <c r="H62" s="12"/>
      <c r="I62" s="14"/>
      <c r="J62" s="14"/>
      <c r="K62" s="14"/>
      <c r="L62" s="14"/>
      <c r="M62" s="14"/>
      <c r="N62" s="14"/>
    </row>
    <row r="63" spans="1:18" ht="12.75" customHeight="1" x14ac:dyDescent="0.2">
      <c r="A63" s="349"/>
      <c r="B63" s="342"/>
      <c r="C63" s="14"/>
      <c r="D63" s="342"/>
      <c r="E63" s="342"/>
      <c r="F63" s="12"/>
      <c r="G63" s="12"/>
      <c r="H63" s="12"/>
      <c r="I63" s="106"/>
      <c r="J63" s="12"/>
      <c r="K63" s="12"/>
      <c r="L63" s="12"/>
      <c r="M63" s="110"/>
      <c r="N63" s="110"/>
    </row>
    <row r="64" spans="1:18" ht="3.75" customHeight="1" x14ac:dyDescent="0.2">
      <c r="A64" s="349"/>
      <c r="B64" s="12"/>
      <c r="C64" s="12"/>
      <c r="D64" s="12"/>
      <c r="E64" s="12"/>
      <c r="F64" s="653"/>
      <c r="G64" s="653"/>
      <c r="H64" s="653"/>
      <c r="I64" s="653"/>
      <c r="J64" s="653"/>
      <c r="K64" s="342"/>
      <c r="L64" s="342"/>
      <c r="M64" s="27"/>
      <c r="N64" s="27"/>
    </row>
    <row r="65" spans="1:14" ht="12" customHeight="1" x14ac:dyDescent="0.2">
      <c r="A65" s="349"/>
      <c r="B65" s="656"/>
      <c r="C65" s="656"/>
      <c r="D65" s="656"/>
      <c r="E65" s="656"/>
      <c r="F65" s="656"/>
      <c r="G65" s="656"/>
      <c r="H65" s="656"/>
      <c r="I65" s="656"/>
      <c r="J65" s="656"/>
      <c r="K65" s="656"/>
      <c r="L65" s="656"/>
      <c r="M65" s="656"/>
      <c r="N65" s="344"/>
    </row>
    <row r="66" spans="1:14" ht="13.5" customHeight="1" x14ac:dyDescent="0.25">
      <c r="A66" s="349"/>
      <c r="B66" s="376"/>
      <c r="C66" s="4"/>
      <c r="D66" s="4"/>
      <c r="E66" s="5"/>
      <c r="F66" s="5"/>
      <c r="G66" s="5"/>
      <c r="H66" s="5"/>
      <c r="I66" s="6"/>
      <c r="J66" s="6"/>
      <c r="K66" s="6"/>
      <c r="L66" s="6"/>
      <c r="M66" s="7"/>
      <c r="N66" s="7"/>
    </row>
    <row r="67" spans="1:14" ht="6.75" customHeight="1" thickBot="1" x14ac:dyDescent="0.25">
      <c r="A67" s="349"/>
    </row>
    <row r="68" spans="1:14" ht="4.5" customHeight="1" x14ac:dyDescent="0.2">
      <c r="A68" s="349"/>
      <c r="B68" s="649"/>
      <c r="C68" s="650"/>
      <c r="D68" s="650"/>
      <c r="E68" s="650"/>
      <c r="F68" s="650"/>
      <c r="G68" s="650"/>
      <c r="H68" s="650"/>
      <c r="I68" s="650"/>
      <c r="J68" s="650"/>
      <c r="K68" s="650"/>
      <c r="L68" s="650"/>
      <c r="M68" s="651"/>
      <c r="N68" s="342"/>
    </row>
    <row r="69" spans="1:14" ht="13.5" customHeight="1" x14ac:dyDescent="0.2">
      <c r="A69" s="349"/>
      <c r="B69" s="671" t="s">
        <v>139</v>
      </c>
      <c r="C69" s="672"/>
      <c r="D69" s="672"/>
      <c r="E69" s="672"/>
      <c r="F69" s="672"/>
      <c r="G69" s="672"/>
      <c r="H69" s="672"/>
      <c r="I69" s="672"/>
      <c r="J69" s="672"/>
      <c r="K69" s="672"/>
      <c r="L69" s="672"/>
      <c r="M69" s="673"/>
      <c r="N69" s="340"/>
    </row>
    <row r="70" spans="1:14" ht="7.5" customHeight="1" x14ac:dyDescent="0.2">
      <c r="A70" s="349"/>
      <c r="B70" s="671"/>
      <c r="C70" s="672"/>
      <c r="D70" s="672"/>
      <c r="E70" s="672"/>
      <c r="F70" s="672"/>
      <c r="G70" s="672"/>
      <c r="H70" s="672"/>
      <c r="I70" s="672"/>
      <c r="J70" s="672"/>
      <c r="K70" s="672"/>
      <c r="L70" s="672"/>
      <c r="M70" s="673"/>
      <c r="N70" s="340"/>
    </row>
    <row r="71" spans="1:14" ht="26.25" customHeight="1" x14ac:dyDescent="0.2">
      <c r="A71" s="349"/>
      <c r="B71" s="339"/>
      <c r="C71" s="340"/>
      <c r="D71" s="340"/>
      <c r="E71" s="340"/>
      <c r="F71" s="13"/>
      <c r="G71" s="14"/>
      <c r="H71" s="14"/>
      <c r="I71" s="340"/>
      <c r="J71" s="340"/>
      <c r="K71" s="340"/>
      <c r="L71" s="340"/>
      <c r="M71" s="341"/>
      <c r="N71" s="340"/>
    </row>
    <row r="72" spans="1:14" ht="15" customHeight="1" x14ac:dyDescent="0.2">
      <c r="A72" s="349"/>
      <c r="B72" s="334"/>
      <c r="C72" s="107"/>
      <c r="D72" s="108"/>
      <c r="E72" s="9"/>
      <c r="F72" s="377"/>
      <c r="G72" s="12"/>
      <c r="H72" s="12"/>
      <c r="I72" s="14"/>
      <c r="J72" s="14"/>
      <c r="K72" s="14"/>
      <c r="L72" s="14"/>
      <c r="M72" s="15"/>
      <c r="N72" s="14"/>
    </row>
    <row r="73" spans="1:14" ht="12.75" customHeight="1" x14ac:dyDescent="0.2">
      <c r="A73" s="349"/>
      <c r="B73" s="19" t="s">
        <v>140</v>
      </c>
      <c r="C73" s="657" t="s">
        <v>141</v>
      </c>
      <c r="D73" s="657"/>
      <c r="E73" s="658"/>
      <c r="F73" s="345" t="str">
        <f>IF(VLOOKUP(F5,Daten[],8,0)="","","Datum")</f>
        <v/>
      </c>
      <c r="G73" s="657" t="str">
        <f>IF(VLOOKUP(F5,Daten[],8,0)="","","Unterschrift")</f>
        <v/>
      </c>
      <c r="H73" s="657"/>
      <c r="I73" s="657"/>
      <c r="J73" s="657"/>
      <c r="K73" s="657"/>
      <c r="L73" s="657"/>
      <c r="M73" s="659"/>
      <c r="N73" s="342"/>
    </row>
    <row r="74" spans="1:14" ht="6" customHeight="1" x14ac:dyDescent="0.2">
      <c r="A74" s="349"/>
      <c r="B74" s="10"/>
      <c r="C74" s="12"/>
      <c r="D74" s="12"/>
      <c r="E74" s="11"/>
      <c r="F74" s="652"/>
      <c r="G74" s="653"/>
      <c r="H74" s="653"/>
      <c r="I74" s="653"/>
      <c r="J74" s="653"/>
      <c r="K74" s="342"/>
      <c r="L74" s="342"/>
      <c r="M74" s="378"/>
      <c r="N74" s="27"/>
    </row>
    <row r="75" spans="1:14" ht="15" customHeight="1" thickBot="1" x14ac:dyDescent="0.25">
      <c r="A75" s="349"/>
      <c r="B75" s="654" t="str">
        <f>IF(VLOOKUP(F5,Daten[],6,0)="","",VLOOKUP(F5,Daten[],6,0))</f>
        <v/>
      </c>
      <c r="C75" s="647"/>
      <c r="D75" s="647"/>
      <c r="E75" s="655"/>
      <c r="F75" s="646" t="str">
        <f>IF(VLOOKUP(F5,Daten[],8,0)="","",VLOOKUP(F5,Daten[],8,0))</f>
        <v/>
      </c>
      <c r="G75" s="647"/>
      <c r="H75" s="647"/>
      <c r="I75" s="647"/>
      <c r="J75" s="647"/>
      <c r="K75" s="647"/>
      <c r="L75" s="647"/>
      <c r="M75" s="648"/>
      <c r="N75" s="344"/>
    </row>
    <row r="77" spans="1:14" x14ac:dyDescent="0.2">
      <c r="B77" s="557" t="str">
        <f>Steuerung!U4</f>
        <v>Ben_InRe1-KA131_Call2022_v2022-10-14_frei_mgr</v>
      </c>
    </row>
  </sheetData>
  <sheetProtection algorithmName="SHA-512" hashValue="RVa8cZJbQygI1nhTK7hHxRZ4ARddV420dEB68t0Oxi5s7u2oMCFPHpO8i9pQeaTliYZ5ss5/TCFDF8QYlM0wQg==" saltValue="fro2njs/3gTFSblFcMFehQ==" spinCount="100000" sheet="1" selectLockedCells="1"/>
  <mergeCells count="40">
    <mergeCell ref="F43:I43"/>
    <mergeCell ref="B54:M57"/>
    <mergeCell ref="J13:M13"/>
    <mergeCell ref="E13:F13"/>
    <mergeCell ref="B69:M70"/>
    <mergeCell ref="F64:J64"/>
    <mergeCell ref="B59:E59"/>
    <mergeCell ref="L14:M14"/>
    <mergeCell ref="F38:I38"/>
    <mergeCell ref="F39:I39"/>
    <mergeCell ref="F40:I40"/>
    <mergeCell ref="F41:I41"/>
    <mergeCell ref="F45:I45"/>
    <mergeCell ref="F49:I49"/>
    <mergeCell ref="F51:I51"/>
    <mergeCell ref="J23:M23"/>
    <mergeCell ref="F75:M75"/>
    <mergeCell ref="B68:M68"/>
    <mergeCell ref="F74:J74"/>
    <mergeCell ref="B75:E75"/>
    <mergeCell ref="B65:E65"/>
    <mergeCell ref="F65:M65"/>
    <mergeCell ref="C73:E73"/>
    <mergeCell ref="G73:M73"/>
    <mergeCell ref="J49:M49"/>
    <mergeCell ref="F47:I47"/>
    <mergeCell ref="J26:K26"/>
    <mergeCell ref="L26:M26"/>
    <mergeCell ref="C1:D1"/>
    <mergeCell ref="J14:K14"/>
    <mergeCell ref="F8:M8"/>
    <mergeCell ref="B8:E8"/>
    <mergeCell ref="F9:M9"/>
    <mergeCell ref="B3:M3"/>
    <mergeCell ref="B6:E6"/>
    <mergeCell ref="B5:E5"/>
    <mergeCell ref="B7:E7"/>
    <mergeCell ref="F6:M6"/>
    <mergeCell ref="F5:M5"/>
    <mergeCell ref="F7:M7"/>
  </mergeCells>
  <phoneticPr fontId="1" type="noConversion"/>
  <conditionalFormatting sqref="E42 E44:E46 E48:E50">
    <cfRule type="expression" dxfId="163" priority="24">
      <formula>$M42="Ablehnen"</formula>
    </cfRule>
  </conditionalFormatting>
  <conditionalFormatting sqref="E42 E44:E46 E48:E50">
    <cfRule type="expression" dxfId="162" priority="22">
      <formula>$M42="-"</formula>
    </cfRule>
  </conditionalFormatting>
  <conditionalFormatting sqref="F42:H42 F44:H44">
    <cfRule type="expression" dxfId="161" priority="17">
      <formula>$M42="-"</formula>
    </cfRule>
    <cfRule type="expression" dxfId="160" priority="18">
      <formula>$M42="Ablehnen"</formula>
    </cfRule>
  </conditionalFormatting>
  <conditionalFormatting sqref="M50">
    <cfRule type="expression" dxfId="159" priority="14">
      <formula>$E50&lt;0</formula>
    </cfRule>
  </conditionalFormatting>
  <conditionalFormatting sqref="F72">
    <cfRule type="expression" dxfId="158" priority="13">
      <formula>$F$75&lt;&gt;""</formula>
    </cfRule>
  </conditionalFormatting>
  <conditionalFormatting sqref="E51">
    <cfRule type="expression" dxfId="157" priority="8">
      <formula>$M51="Ablehnen"</formula>
    </cfRule>
  </conditionalFormatting>
  <conditionalFormatting sqref="E51">
    <cfRule type="expression" dxfId="156" priority="7">
      <formula>$M51="-"</formula>
    </cfRule>
  </conditionalFormatting>
  <conditionalFormatting sqref="B54:M57">
    <cfRule type="expression" dxfId="155" priority="6">
      <formula>$F$51="Verzicht"</formula>
    </cfRule>
  </conditionalFormatting>
  <conditionalFormatting sqref="E43">
    <cfRule type="expression" dxfId="154" priority="4">
      <formula>$M43="Ablehnen"</formula>
    </cfRule>
  </conditionalFormatting>
  <conditionalFormatting sqref="E43">
    <cfRule type="expression" dxfId="153" priority="3">
      <formula>$M43="-"</formula>
    </cfRule>
  </conditionalFormatting>
  <conditionalFormatting sqref="E47">
    <cfRule type="expression" dxfId="152" priority="2">
      <formula>$M47="Ablehnen"</formula>
    </cfRule>
  </conditionalFormatting>
  <conditionalFormatting sqref="E47">
    <cfRule type="expression" dxfId="151" priority="1">
      <formula>$M47="-"</formula>
    </cfRule>
  </conditionalFormatting>
  <dataValidations count="1">
    <dataValidation allowBlank="1" sqref="I53:N53 B4:E4 B52:H53 B66:H67 O57 O52:O53 A52:A57 O8:O38" xr:uid="{B83943EC-8DB4-4801-A8E7-086A035410C0}"/>
  </dataValidations>
  <printOptions horizontalCentered="1"/>
  <pageMargins left="0.23622047244094491" right="0.27559055118110237" top="0.15748031496062992" bottom="0.37" header="0.15748031496062992" footer="0.51"/>
  <pageSetup paperSize="9" scale="74" orientation="portrait" r:id="rId1"/>
  <headerFooter alignWithMargins="0">
    <oddFooter>&amp;R&amp;"-,Standard"&amp;9gedruckt am: &amp;D</oddFooter>
  </headerFooter>
  <cellWatches>
    <cellWatch r="F5"/>
  </cellWatches>
  <ignoredErrors>
    <ignoredError sqref="F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98BC7-8FB7-4884-9F9A-1A2F66A64711}">
  <sheetPr>
    <pageSetUpPr fitToPage="1"/>
  </sheetPr>
  <dimension ref="A1:AE92"/>
  <sheetViews>
    <sheetView zoomScale="80" zoomScaleNormal="80" workbookViewId="0">
      <selection activeCell="B5" sqref="B5:AD5"/>
    </sheetView>
  </sheetViews>
  <sheetFormatPr baseColWidth="10" defaultColWidth="11.42578125" defaultRowHeight="12.75" outlineLevelCol="1" x14ac:dyDescent="0.2"/>
  <cols>
    <col min="1" max="1" width="2" style="2" customWidth="1"/>
    <col min="2" max="2" width="1.42578125" style="2" customWidth="1"/>
    <col min="3" max="3" width="25" style="2" customWidth="1"/>
    <col min="4" max="4" width="12.28515625" style="2" customWidth="1"/>
    <col min="5" max="5" width="4.28515625" style="203" customWidth="1"/>
    <col min="6" max="7" width="14" style="2" customWidth="1"/>
    <col min="8" max="8" width="11.140625" style="2" customWidth="1"/>
    <col min="9" max="9" width="2.28515625" style="2" customWidth="1"/>
    <col min="10" max="10" width="7.85546875" style="2" hidden="1" customWidth="1" outlineLevel="1"/>
    <col min="11" max="11" width="15.28515625" style="2" hidden="1" customWidth="1" outlineLevel="1"/>
    <col min="12" max="12" width="10.85546875" style="2" hidden="1" customWidth="1" outlineLevel="1"/>
    <col min="13" max="13" width="9.28515625" style="2" hidden="1" customWidth="1" outlineLevel="1"/>
    <col min="14" max="14" width="10.85546875" style="2" hidden="1" customWidth="1" outlineLevel="1"/>
    <col min="15" max="15" width="8.85546875" style="2" hidden="1" customWidth="1" outlineLevel="1"/>
    <col min="16" max="16" width="8.140625" style="2" hidden="1" customWidth="1" outlineLevel="1"/>
    <col min="17" max="17" width="9.28515625" style="2" hidden="1" customWidth="1" outlineLevel="1"/>
    <col min="18" max="18" width="7.85546875" style="2" hidden="1" customWidth="1" outlineLevel="1"/>
    <col min="19" max="19" width="9.28515625" style="2" hidden="1" customWidth="1" outlineLevel="1"/>
    <col min="20" max="20" width="11.5703125" style="2" hidden="1" customWidth="1" outlineLevel="1"/>
    <col min="21" max="21" width="11.42578125" style="2" hidden="1" customWidth="1" outlineLevel="1"/>
    <col min="22" max="22" width="8.7109375" style="2" hidden="1" customWidth="1" outlineLevel="1"/>
    <col min="23" max="23" width="9.28515625" style="2" hidden="1" customWidth="1" outlineLevel="1"/>
    <col min="24" max="24" width="12.42578125" style="2" bestFit="1" customWidth="1" collapsed="1"/>
    <col min="25" max="25" width="12.140625" style="2" customWidth="1"/>
    <col min="26" max="26" width="13.140625" style="2" bestFit="1" customWidth="1"/>
    <col min="27" max="27" width="10.85546875" style="2" hidden="1" customWidth="1"/>
    <col min="28" max="29" width="12" style="2" customWidth="1"/>
    <col min="30" max="30" width="1.42578125" style="2" customWidth="1"/>
    <col min="31" max="16384" width="11.42578125" style="2"/>
  </cols>
  <sheetData>
    <row r="1" spans="1:30" ht="15.75" customHeight="1" x14ac:dyDescent="0.2">
      <c r="C1" s="112"/>
      <c r="D1" s="112"/>
      <c r="E1" s="58"/>
      <c r="F1" s="208"/>
      <c r="G1" s="209"/>
      <c r="H1" s="209"/>
      <c r="I1" s="58"/>
      <c r="J1" s="58"/>
      <c r="K1" s="58"/>
      <c r="X1" s="140"/>
    </row>
    <row r="2" spans="1:30" ht="15.75" customHeight="1" x14ac:dyDescent="0.2">
      <c r="C2" s="112"/>
      <c r="D2" s="112"/>
      <c r="E2" s="58"/>
      <c r="F2" s="208"/>
      <c r="G2" s="209"/>
      <c r="H2" s="209"/>
      <c r="I2" s="58"/>
      <c r="J2" s="58"/>
      <c r="K2" s="58"/>
      <c r="X2" s="140"/>
    </row>
    <row r="3" spans="1:30" ht="15.75" customHeight="1" x14ac:dyDescent="0.2">
      <c r="C3" s="112"/>
      <c r="D3" s="112"/>
      <c r="E3" s="58"/>
      <c r="F3" s="208"/>
      <c r="G3" s="209"/>
      <c r="H3" s="209"/>
      <c r="I3" s="58"/>
      <c r="J3" s="58"/>
      <c r="K3" s="58"/>
      <c r="X3" s="140"/>
    </row>
    <row r="4" spans="1:30" ht="15.75" customHeight="1" thickBot="1" x14ac:dyDescent="0.25">
      <c r="C4" s="112"/>
      <c r="D4" s="112"/>
      <c r="E4" s="58"/>
      <c r="F4" s="208"/>
      <c r="G4" s="209"/>
      <c r="H4" s="209"/>
      <c r="I4" s="58"/>
      <c r="J4" s="58"/>
      <c r="K4" s="58"/>
      <c r="X4" s="140"/>
    </row>
    <row r="5" spans="1:30" ht="66.75" customHeight="1" thickBot="1" x14ac:dyDescent="0.25">
      <c r="A5" s="3"/>
      <c r="B5" s="693" t="str">
        <f>"Annex zum "&amp;Steuerung!U5&amp;"
ERASMUS+  Mobilität von Lernenden und Bildungspersonal (KA131)
Call 2022"</f>
        <v>Annex zum 1.  Z W I S C H E N B E R I C H T
ERASMUS+  Mobilität von Lernenden und Bildungspersonal (KA131)
Call 2022</v>
      </c>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5"/>
    </row>
    <row r="6" spans="1:30" ht="15.75" customHeight="1" x14ac:dyDescent="0.2">
      <c r="C6" s="112"/>
      <c r="D6" s="112"/>
      <c r="E6" s="58"/>
      <c r="F6" s="208"/>
      <c r="G6" s="209"/>
      <c r="H6" s="209"/>
      <c r="I6" s="58"/>
      <c r="J6" s="58"/>
      <c r="K6" s="58"/>
      <c r="X6" s="140"/>
      <c r="AC6" s="705" t="str">
        <f>Erklärung!J6</f>
        <v>1.1.2</v>
      </c>
      <c r="AD6" s="705"/>
    </row>
    <row r="7" spans="1:30" ht="16.5" customHeight="1" x14ac:dyDescent="0.2"/>
    <row r="8" spans="1:30" s="154" customFormat="1" ht="53.25" customHeight="1" thickBot="1" x14ac:dyDescent="0.25">
      <c r="C8" s="696" t="str">
        <f>'Dateneingabe Mobilitäten'!C1</f>
        <v>&lt;-- Bitte Erasmus Code auswählen --&gt;</v>
      </c>
      <c r="D8" s="696"/>
      <c r="E8" s="696"/>
      <c r="F8" s="155" t="s">
        <v>377</v>
      </c>
      <c r="G8" s="155" t="s">
        <v>353</v>
      </c>
      <c r="H8" s="155" t="s">
        <v>514</v>
      </c>
      <c r="K8" s="156"/>
      <c r="L8" s="697" t="s">
        <v>382</v>
      </c>
      <c r="M8" s="697"/>
      <c r="N8" s="697"/>
      <c r="O8" s="697"/>
      <c r="P8" s="697"/>
      <c r="Q8" s="697"/>
      <c r="R8" s="697"/>
      <c r="S8" s="697"/>
      <c r="T8" s="697"/>
      <c r="U8" s="697"/>
      <c r="V8" s="697"/>
      <c r="W8" s="698"/>
      <c r="X8" s="155" t="s">
        <v>387</v>
      </c>
      <c r="Y8" s="254" t="s">
        <v>412</v>
      </c>
      <c r="Z8" s="155" t="s">
        <v>370</v>
      </c>
      <c r="AA8" s="157" t="s">
        <v>369</v>
      </c>
      <c r="AB8" s="155" t="s">
        <v>548</v>
      </c>
      <c r="AC8" s="155" t="s">
        <v>549</v>
      </c>
    </row>
    <row r="9" spans="1:30" s="154" customFormat="1" ht="7.5" customHeight="1" thickTop="1" thickBot="1" x14ac:dyDescent="0.25">
      <c r="B9" s="158"/>
      <c r="C9" s="159"/>
      <c r="D9" s="159"/>
      <c r="E9" s="160"/>
      <c r="F9" s="161"/>
      <c r="G9" s="161"/>
      <c r="H9" s="161"/>
      <c r="I9" s="159"/>
      <c r="J9" s="159"/>
      <c r="K9" s="159"/>
      <c r="L9" s="162"/>
      <c r="M9" s="162"/>
      <c r="N9" s="162"/>
      <c r="O9" s="162"/>
      <c r="P9" s="162"/>
      <c r="Q9" s="162"/>
      <c r="R9" s="162"/>
      <c r="S9" s="162"/>
      <c r="T9" s="162"/>
      <c r="U9" s="162"/>
      <c r="V9" s="162"/>
      <c r="W9" s="162"/>
      <c r="X9" s="161"/>
      <c r="Y9" s="162"/>
      <c r="Z9" s="159"/>
      <c r="AA9" s="159"/>
      <c r="AB9" s="159"/>
      <c r="AC9" s="159"/>
      <c r="AD9" s="163"/>
    </row>
    <row r="10" spans="1:30" x14ac:dyDescent="0.2">
      <c r="B10" s="164"/>
      <c r="C10" s="680" t="s">
        <v>349</v>
      </c>
      <c r="D10" s="100"/>
      <c r="E10" s="165" t="s">
        <v>350</v>
      </c>
      <c r="F10" s="132">
        <f>'Dateneingabe Mobilitäten'!G4</f>
        <v>0</v>
      </c>
      <c r="G10" s="132">
        <f>'Dateneingabe Mobilitäten'!H4</f>
        <v>0</v>
      </c>
      <c r="H10" s="211">
        <f>F10+G10</f>
        <v>0</v>
      </c>
      <c r="I10" s="211"/>
      <c r="J10" s="211"/>
      <c r="K10" s="211"/>
      <c r="L10" s="212"/>
      <c r="M10" s="212"/>
      <c r="N10" s="212"/>
      <c r="O10" s="212"/>
      <c r="P10" s="212"/>
      <c r="Q10" s="212"/>
      <c r="R10" s="212"/>
      <c r="S10" s="212"/>
      <c r="T10" s="212"/>
      <c r="U10" s="212"/>
      <c r="V10" s="212"/>
      <c r="W10" s="212"/>
      <c r="X10" s="211">
        <f>'Dateneingabe Mobilitäten'!F4</f>
        <v>0</v>
      </c>
      <c r="Y10" s="212"/>
      <c r="Z10" s="212"/>
      <c r="AA10" s="212">
        <f>H10-X10</f>
        <v>0</v>
      </c>
      <c r="AB10" s="699">
        <f>'Dateneingabe Mobilitäten'!AA4</f>
        <v>0</v>
      </c>
      <c r="AC10" s="702">
        <f>'Dateneingabe Mobilitäten'!AB4</f>
        <v>0</v>
      </c>
      <c r="AD10" s="166"/>
    </row>
    <row r="11" spans="1:30" x14ac:dyDescent="0.2">
      <c r="B11" s="164"/>
      <c r="C11" s="682"/>
      <c r="D11" s="53"/>
      <c r="E11" s="167" t="s">
        <v>375</v>
      </c>
      <c r="F11" s="205">
        <f>'Dateneingabe Mobilitäten'!G5</f>
        <v>0</v>
      </c>
      <c r="G11" s="205">
        <f>'Dateneingabe Mobilitäten'!H5</f>
        <v>0</v>
      </c>
      <c r="H11" s="12">
        <f t="shared" ref="H11:H13" si="0">F11+G11</f>
        <v>0</v>
      </c>
      <c r="I11" s="12"/>
      <c r="J11" s="12"/>
      <c r="K11" s="213" t="s">
        <v>512</v>
      </c>
      <c r="L11" s="213" t="s">
        <v>348</v>
      </c>
      <c r="M11" s="213" t="s">
        <v>347</v>
      </c>
      <c r="N11" s="213" t="s">
        <v>366</v>
      </c>
      <c r="O11" s="213" t="s">
        <v>367</v>
      </c>
      <c r="P11" s="213" t="s">
        <v>343</v>
      </c>
      <c r="Q11" s="213" t="s">
        <v>345</v>
      </c>
      <c r="R11" s="213" t="s">
        <v>344</v>
      </c>
      <c r="S11" s="213" t="s">
        <v>346</v>
      </c>
      <c r="T11" s="213" t="s">
        <v>669</v>
      </c>
      <c r="U11" s="97" t="s">
        <v>911</v>
      </c>
      <c r="V11" s="213" t="s">
        <v>368</v>
      </c>
      <c r="W11" s="213" t="s">
        <v>381</v>
      </c>
      <c r="X11" s="12"/>
      <c r="Y11" s="213"/>
      <c r="Z11" s="12"/>
      <c r="AA11" s="12"/>
      <c r="AB11" s="700"/>
      <c r="AC11" s="703"/>
      <c r="AD11" s="166"/>
    </row>
    <row r="12" spans="1:30" x14ac:dyDescent="0.2">
      <c r="B12" s="164"/>
      <c r="C12" s="682"/>
      <c r="D12" s="53"/>
      <c r="E12" s="167" t="s">
        <v>376</v>
      </c>
      <c r="F12" s="205">
        <f>'Dateneingabe Mobilitäten'!G6</f>
        <v>0</v>
      </c>
      <c r="G12" s="205">
        <f>'Dateneingabe Mobilitäten'!H6</f>
        <v>0</v>
      </c>
      <c r="H12" s="12">
        <f t="shared" si="0"/>
        <v>0</v>
      </c>
      <c r="I12" s="12"/>
      <c r="J12" s="185" t="s">
        <v>511</v>
      </c>
      <c r="K12" s="214">
        <f>MAX(0,J13)</f>
        <v>0</v>
      </c>
      <c r="L12" s="12"/>
      <c r="M12" s="12"/>
      <c r="N12" s="12"/>
      <c r="O12" s="133">
        <f>'Dateneingabe Mobilitäten'!P6</f>
        <v>0</v>
      </c>
      <c r="P12" s="12"/>
      <c r="Q12" s="133">
        <f>'Dateneingabe Mobilitäten'!R6</f>
        <v>0</v>
      </c>
      <c r="R12" s="12"/>
      <c r="S12" s="133">
        <f>'Dateneingabe Mobilitäten'!T6</f>
        <v>0</v>
      </c>
      <c r="T12" s="186">
        <f>'Dateneingabe Mobilitäten'!U6</f>
        <v>0</v>
      </c>
      <c r="U12" s="186">
        <f>'Dateneingabe Mobilitäten'!V6</f>
        <v>0</v>
      </c>
      <c r="V12" s="12"/>
      <c r="W12" s="12"/>
      <c r="X12" s="12"/>
      <c r="Y12" s="12"/>
      <c r="Z12" s="12"/>
      <c r="AA12" s="12"/>
      <c r="AB12" s="700"/>
      <c r="AC12" s="703"/>
      <c r="AD12" s="166"/>
    </row>
    <row r="13" spans="1:30" ht="13.5" thickBot="1" x14ac:dyDescent="0.25">
      <c r="B13" s="164"/>
      <c r="C13" s="681"/>
      <c r="D13" s="168"/>
      <c r="E13" s="169" t="s">
        <v>114</v>
      </c>
      <c r="F13" s="206">
        <f>'Dateneingabe Mobilitäten'!G7</f>
        <v>0</v>
      </c>
      <c r="G13" s="206">
        <f>'Dateneingabe Mobilitäten'!H7</f>
        <v>0</v>
      </c>
      <c r="H13" s="207">
        <f t="shared" si="0"/>
        <v>0</v>
      </c>
      <c r="I13" s="215"/>
      <c r="J13" s="216">
        <f>X13-H13</f>
        <v>0</v>
      </c>
      <c r="K13" s="196"/>
      <c r="L13" s="197"/>
      <c r="M13" s="197"/>
      <c r="N13" s="197">
        <f>M17</f>
        <v>0</v>
      </c>
      <c r="O13" s="197">
        <f>O12*-1</f>
        <v>0</v>
      </c>
      <c r="P13" s="197">
        <f>M27</f>
        <v>0</v>
      </c>
      <c r="Q13" s="197">
        <f>Q12*-1</f>
        <v>0</v>
      </c>
      <c r="R13" s="197">
        <f>M32</f>
        <v>0</v>
      </c>
      <c r="S13" s="197">
        <f>S12*-1</f>
        <v>0</v>
      </c>
      <c r="T13" s="197">
        <f t="shared" ref="T13:U13" si="1">T12*-1</f>
        <v>0</v>
      </c>
      <c r="U13" s="197">
        <f t="shared" si="1"/>
        <v>0</v>
      </c>
      <c r="V13" s="197">
        <f>M46</f>
        <v>0</v>
      </c>
      <c r="W13" s="197">
        <f>M57+M61+M65+M69+M73+M77</f>
        <v>0</v>
      </c>
      <c r="X13" s="197">
        <f>'Dateneingabe Mobilitäten'!F7</f>
        <v>0</v>
      </c>
      <c r="Y13" s="197">
        <f>L13+M13+N13+O13+P13+Q13+R13+S13+V13+W13+T13+U13</f>
        <v>0</v>
      </c>
      <c r="Z13" s="207">
        <f>X13+L13+M13+N13+O13+P13+Q13+R13+S13+V13+W13+T13+U13</f>
        <v>0</v>
      </c>
      <c r="AA13" s="217">
        <f>Z13-H13</f>
        <v>0</v>
      </c>
      <c r="AB13" s="701"/>
      <c r="AC13" s="704"/>
      <c r="AD13" s="166"/>
    </row>
    <row r="14" spans="1:30" ht="13.5" thickBot="1" x14ac:dyDescent="0.25">
      <c r="B14" s="164"/>
      <c r="C14" s="53"/>
      <c r="D14" s="53"/>
      <c r="E14" s="167"/>
      <c r="F14" s="53"/>
      <c r="G14" s="53"/>
      <c r="H14" s="53"/>
      <c r="I14" s="53"/>
      <c r="J14" s="53"/>
      <c r="K14" s="53"/>
      <c r="L14" s="53"/>
      <c r="M14" s="53"/>
      <c r="N14" s="53"/>
      <c r="O14" s="53"/>
      <c r="P14" s="53"/>
      <c r="Q14" s="53"/>
      <c r="R14" s="53"/>
      <c r="S14" s="53"/>
      <c r="T14" s="53"/>
      <c r="U14" s="53"/>
      <c r="V14" s="53"/>
      <c r="W14" s="53"/>
      <c r="X14" s="53"/>
      <c r="Y14" s="53"/>
      <c r="Z14" s="53"/>
      <c r="AA14" s="53"/>
      <c r="AB14" s="570"/>
      <c r="AC14" s="570"/>
      <c r="AD14" s="166"/>
    </row>
    <row r="15" spans="1:30" x14ac:dyDescent="0.2">
      <c r="B15" s="164"/>
      <c r="C15" s="680" t="s">
        <v>351</v>
      </c>
      <c r="D15" s="100"/>
      <c r="E15" s="165" t="s">
        <v>350</v>
      </c>
      <c r="F15" s="132">
        <f>'Dateneingabe Mobilitäten'!G9</f>
        <v>0</v>
      </c>
      <c r="G15" s="132">
        <f>'Dateneingabe Mobilitäten'!H9</f>
        <v>0</v>
      </c>
      <c r="H15" s="211">
        <f>F15+G15</f>
        <v>0</v>
      </c>
      <c r="I15" s="211"/>
      <c r="J15" s="211"/>
      <c r="K15" s="211"/>
      <c r="L15" s="211"/>
      <c r="M15" s="211"/>
      <c r="N15" s="211"/>
      <c r="O15" s="211"/>
      <c r="P15" s="211"/>
      <c r="Q15" s="211"/>
      <c r="R15" s="211"/>
      <c r="S15" s="211"/>
      <c r="T15" s="211"/>
      <c r="U15" s="211"/>
      <c r="V15" s="211"/>
      <c r="W15" s="211"/>
      <c r="X15" s="211">
        <f>'Dateneingabe Mobilitäten'!F9</f>
        <v>0</v>
      </c>
      <c r="Y15" s="211"/>
      <c r="Z15" s="211"/>
      <c r="AA15" s="212">
        <f>H15-X15</f>
        <v>0</v>
      </c>
      <c r="AB15" s="699">
        <f>'Dateneingabe Mobilitäten'!AA9</f>
        <v>0</v>
      </c>
      <c r="AC15" s="712">
        <f>'Dateneingabe Mobilitäten'!AB9</f>
        <v>0</v>
      </c>
      <c r="AD15" s="166"/>
    </row>
    <row r="16" spans="1:30" x14ac:dyDescent="0.2">
      <c r="B16" s="164"/>
      <c r="C16" s="682"/>
      <c r="D16" s="53"/>
      <c r="E16" s="167" t="s">
        <v>375</v>
      </c>
      <c r="F16" s="205">
        <f>'Dateneingabe Mobilitäten'!G10</f>
        <v>0</v>
      </c>
      <c r="G16" s="205">
        <f>'Dateneingabe Mobilitäten'!H10</f>
        <v>0</v>
      </c>
      <c r="H16" s="12">
        <f t="shared" ref="H16:H18" si="2">F16+G16</f>
        <v>0</v>
      </c>
      <c r="I16" s="12"/>
      <c r="J16" s="12"/>
      <c r="K16" s="213" t="s">
        <v>512</v>
      </c>
      <c r="L16" s="213" t="s">
        <v>348</v>
      </c>
      <c r="M16" s="213" t="s">
        <v>347</v>
      </c>
      <c r="N16" s="213" t="s">
        <v>366</v>
      </c>
      <c r="O16" s="213" t="s">
        <v>367</v>
      </c>
      <c r="P16" s="213" t="s">
        <v>343</v>
      </c>
      <c r="Q16" s="213" t="s">
        <v>345</v>
      </c>
      <c r="R16" s="213" t="s">
        <v>344</v>
      </c>
      <c r="S16" s="213" t="s">
        <v>346</v>
      </c>
      <c r="T16" s="213" t="s">
        <v>669</v>
      </c>
      <c r="U16" s="97" t="s">
        <v>911</v>
      </c>
      <c r="V16" s="213" t="s">
        <v>368</v>
      </c>
      <c r="W16" s="213" t="s">
        <v>381</v>
      </c>
      <c r="X16" s="12"/>
      <c r="Y16" s="213"/>
      <c r="Z16" s="12"/>
      <c r="AA16" s="12"/>
      <c r="AB16" s="700"/>
      <c r="AC16" s="713"/>
      <c r="AD16" s="166"/>
    </row>
    <row r="17" spans="2:30" x14ac:dyDescent="0.2">
      <c r="B17" s="164"/>
      <c r="C17" s="682"/>
      <c r="D17" s="53"/>
      <c r="E17" s="167" t="s">
        <v>376</v>
      </c>
      <c r="F17" s="205">
        <f>'Dateneingabe Mobilitäten'!G11</f>
        <v>0</v>
      </c>
      <c r="G17" s="205">
        <f>'Dateneingabe Mobilitäten'!H11</f>
        <v>0</v>
      </c>
      <c r="H17" s="12">
        <f t="shared" si="2"/>
        <v>0</v>
      </c>
      <c r="I17" s="12"/>
      <c r="J17" s="185" t="s">
        <v>511</v>
      </c>
      <c r="K17" s="214">
        <f>MAX(0,J18)</f>
        <v>0</v>
      </c>
      <c r="L17" s="12"/>
      <c r="M17" s="133">
        <f>'Dateneingabe Mobilitäten'!N11</f>
        <v>0</v>
      </c>
      <c r="N17" s="12"/>
      <c r="O17" s="12"/>
      <c r="P17" s="12"/>
      <c r="Q17" s="133">
        <f>'Dateneingabe Mobilitäten'!R11</f>
        <v>0</v>
      </c>
      <c r="R17" s="12"/>
      <c r="S17" s="133">
        <f>'Dateneingabe Mobilitäten'!T11</f>
        <v>0</v>
      </c>
      <c r="T17" s="186">
        <f>'Dateneingabe Mobilitäten'!U11</f>
        <v>0</v>
      </c>
      <c r="U17" s="186">
        <f>'Dateneingabe Mobilitäten'!V11</f>
        <v>0</v>
      </c>
      <c r="V17" s="12"/>
      <c r="W17" s="12"/>
      <c r="X17" s="12"/>
      <c r="Y17" s="12"/>
      <c r="Z17" s="12"/>
      <c r="AA17" s="12"/>
      <c r="AB17" s="700"/>
      <c r="AC17" s="713"/>
      <c r="AD17" s="166"/>
    </row>
    <row r="18" spans="2:30" ht="13.5" thickBot="1" x14ac:dyDescent="0.25">
      <c r="B18" s="164"/>
      <c r="C18" s="681"/>
      <c r="D18" s="168"/>
      <c r="E18" s="169" t="s">
        <v>114</v>
      </c>
      <c r="F18" s="206">
        <f>'Dateneingabe Mobilitäten'!G12</f>
        <v>0</v>
      </c>
      <c r="G18" s="206">
        <f>'Dateneingabe Mobilitäten'!H12</f>
        <v>0</v>
      </c>
      <c r="H18" s="207">
        <f t="shared" si="2"/>
        <v>0</v>
      </c>
      <c r="I18" s="215"/>
      <c r="J18" s="216">
        <f>X18-H18</f>
        <v>0</v>
      </c>
      <c r="K18" s="196"/>
      <c r="L18" s="197">
        <f>O12</f>
        <v>0</v>
      </c>
      <c r="M18" s="197">
        <f>M17*-1</f>
        <v>0</v>
      </c>
      <c r="N18" s="197"/>
      <c r="O18" s="197"/>
      <c r="P18" s="197">
        <f>O27</f>
        <v>0</v>
      </c>
      <c r="Q18" s="197">
        <f>Q17*-1</f>
        <v>0</v>
      </c>
      <c r="R18" s="197">
        <f>O32</f>
        <v>0</v>
      </c>
      <c r="S18" s="197">
        <f>S17*-1</f>
        <v>0</v>
      </c>
      <c r="T18" s="197">
        <f t="shared" ref="T18" si="3">T17*-1</f>
        <v>0</v>
      </c>
      <c r="U18" s="197">
        <f t="shared" ref="U18" si="4">U17*-1</f>
        <v>0</v>
      </c>
      <c r="V18" s="197">
        <f>O46</f>
        <v>0</v>
      </c>
      <c r="W18" s="197">
        <f>O57+O61+O65+O69+O73+O77</f>
        <v>0</v>
      </c>
      <c r="X18" s="197">
        <f>'Dateneingabe Mobilitäten'!F12</f>
        <v>0</v>
      </c>
      <c r="Y18" s="197">
        <f>L18+M18+N18+O18+P18+Q18+R18+S18+V18+W18+T18+U18</f>
        <v>0</v>
      </c>
      <c r="Z18" s="207">
        <f>X18+L18+M18+N18+O18+P18+Q18+R18+S18+V18+W18+T18+U18</f>
        <v>0</v>
      </c>
      <c r="AA18" s="217">
        <f>Z18-H18</f>
        <v>0</v>
      </c>
      <c r="AB18" s="701"/>
      <c r="AC18" s="714"/>
      <c r="AD18" s="166"/>
    </row>
    <row r="19" spans="2:30" ht="13.5" thickBot="1" x14ac:dyDescent="0.25">
      <c r="B19" s="164"/>
      <c r="C19" s="53"/>
      <c r="D19" s="53"/>
      <c r="E19" s="167"/>
      <c r="F19" s="53"/>
      <c r="G19" s="53"/>
      <c r="H19" s="53"/>
      <c r="I19" s="53"/>
      <c r="J19" s="53"/>
      <c r="K19" s="53"/>
      <c r="L19" s="53"/>
      <c r="M19" s="53"/>
      <c r="N19" s="53"/>
      <c r="O19" s="53"/>
      <c r="P19" s="53"/>
      <c r="Q19" s="53"/>
      <c r="R19" s="53"/>
      <c r="S19" s="53"/>
      <c r="T19" s="53"/>
      <c r="U19" s="53"/>
      <c r="V19" s="53"/>
      <c r="W19" s="53"/>
      <c r="X19" s="53"/>
      <c r="Y19" s="53"/>
      <c r="Z19" s="53"/>
      <c r="AA19" s="171"/>
      <c r="AB19" s="53"/>
      <c r="AC19" s="225"/>
      <c r="AD19" s="172"/>
    </row>
    <row r="20" spans="2:30" x14ac:dyDescent="0.2">
      <c r="B20" s="164"/>
      <c r="C20" s="687" t="s">
        <v>371</v>
      </c>
      <c r="D20" s="229"/>
      <c r="E20" s="230" t="s">
        <v>350</v>
      </c>
      <c r="F20" s="231">
        <f>F10+F15</f>
        <v>0</v>
      </c>
      <c r="G20" s="231">
        <f>G10+G15</f>
        <v>0</v>
      </c>
      <c r="H20" s="231">
        <f>H10+H15</f>
        <v>0</v>
      </c>
      <c r="I20" s="231"/>
      <c r="J20" s="231"/>
      <c r="K20" s="231"/>
      <c r="L20" s="231"/>
      <c r="M20" s="231"/>
      <c r="N20" s="231"/>
      <c r="O20" s="232" t="s">
        <v>372</v>
      </c>
      <c r="P20" s="233"/>
      <c r="Q20" s="233"/>
      <c r="R20" s="233"/>
      <c r="S20" s="232" t="s">
        <v>373</v>
      </c>
      <c r="T20" s="232" t="s">
        <v>669</v>
      </c>
      <c r="U20" s="232" t="s">
        <v>911</v>
      </c>
      <c r="V20" s="233"/>
      <c r="W20" s="232"/>
      <c r="X20" s="231">
        <f>X10+X15</f>
        <v>0</v>
      </c>
      <c r="Y20" s="232"/>
      <c r="Z20" s="231"/>
      <c r="AA20" s="234">
        <f>H20-X20</f>
        <v>0</v>
      </c>
      <c r="AB20" s="689">
        <f>'Dateneingabe Mobilitäten'!AA14</f>
        <v>0</v>
      </c>
      <c r="AC20" s="691">
        <f>'Dateneingabe Mobilitäten'!AB14</f>
        <v>0</v>
      </c>
      <c r="AD20" s="183"/>
    </row>
    <row r="21" spans="2:30" ht="13.5" thickBot="1" x14ac:dyDescent="0.25">
      <c r="B21" s="164"/>
      <c r="C21" s="688"/>
      <c r="D21" s="235"/>
      <c r="E21" s="236" t="s">
        <v>114</v>
      </c>
      <c r="F21" s="237">
        <f t="shared" ref="F21:H21" si="5">F13+F18</f>
        <v>0</v>
      </c>
      <c r="G21" s="237">
        <f t="shared" si="5"/>
        <v>0</v>
      </c>
      <c r="H21" s="237">
        <f t="shared" si="5"/>
        <v>0</v>
      </c>
      <c r="I21" s="238"/>
      <c r="J21" s="238"/>
      <c r="K21" s="238"/>
      <c r="L21" s="237"/>
      <c r="M21" s="238"/>
      <c r="N21" s="238"/>
      <c r="O21" s="237">
        <f>M27+O27+M32+O32+M46+O46+N51+P51+M57+O57+M61+O61+M65+O65+M69+O69+M73+O73</f>
        <v>0</v>
      </c>
      <c r="P21" s="237"/>
      <c r="Q21" s="238"/>
      <c r="R21" s="239" t="str">
        <f>IF((S21*-1)&gt;(X21*0.1),"Umschichtung maximal 10% ("&amp;TEXT(X21*0.1,"#.##0,00")&amp;")","")</f>
        <v/>
      </c>
      <c r="S21" s="237">
        <f>Q13+S13+Q18+S18</f>
        <v>0</v>
      </c>
      <c r="T21" s="237">
        <f>T13+T18</f>
        <v>0</v>
      </c>
      <c r="U21" s="237">
        <f>U13+U18</f>
        <v>0</v>
      </c>
      <c r="V21" s="237"/>
      <c r="W21" s="237"/>
      <c r="X21" s="237">
        <f>X13+X18</f>
        <v>0</v>
      </c>
      <c r="Y21" s="237">
        <f>Y13+Y18</f>
        <v>0</v>
      </c>
      <c r="Z21" s="237">
        <f>X21+O21+S21+T21+U21</f>
        <v>0</v>
      </c>
      <c r="AA21" s="237">
        <f>Z21-H21</f>
        <v>0</v>
      </c>
      <c r="AB21" s="690"/>
      <c r="AC21" s="692"/>
      <c r="AD21" s="183"/>
    </row>
    <row r="22" spans="2:30" ht="7.5" customHeight="1" thickBot="1" x14ac:dyDescent="0.25">
      <c r="B22" s="173"/>
      <c r="C22" s="174"/>
      <c r="D22" s="174"/>
      <c r="E22" s="175"/>
      <c r="F22" s="174"/>
      <c r="G22" s="174"/>
      <c r="H22" s="174"/>
      <c r="I22" s="174"/>
      <c r="J22" s="174"/>
      <c r="K22" s="174"/>
      <c r="L22" s="174"/>
      <c r="M22" s="174"/>
      <c r="N22" s="174"/>
      <c r="O22" s="174"/>
      <c r="P22" s="174"/>
      <c r="Q22" s="174"/>
      <c r="R22" s="174"/>
      <c r="S22" s="174"/>
      <c r="T22" s="174"/>
      <c r="U22" s="174"/>
      <c r="V22" s="174"/>
      <c r="W22" s="174"/>
      <c r="X22" s="174"/>
      <c r="Y22" s="174"/>
      <c r="Z22" s="174"/>
      <c r="AA22" s="176"/>
      <c r="AB22" s="174"/>
      <c r="AC22" s="226"/>
      <c r="AD22" s="177"/>
    </row>
    <row r="23" spans="2:30" ht="14.25" thickTop="1" thickBot="1" x14ac:dyDescent="0.25">
      <c r="B23" s="53"/>
      <c r="C23" s="53"/>
      <c r="D23" s="53"/>
      <c r="E23" s="167"/>
      <c r="F23" s="53"/>
      <c r="G23" s="53"/>
      <c r="H23" s="53"/>
      <c r="I23" s="53"/>
      <c r="J23" s="53"/>
      <c r="K23" s="53"/>
      <c r="L23" s="53"/>
      <c r="M23" s="53"/>
      <c r="N23" s="53"/>
      <c r="O23" s="53"/>
      <c r="P23" s="53"/>
      <c r="Q23" s="53"/>
      <c r="R23" s="53"/>
      <c r="S23" s="53"/>
      <c r="T23" s="53"/>
      <c r="U23" s="53"/>
      <c r="V23" s="53"/>
      <c r="W23" s="53"/>
      <c r="X23" s="53"/>
      <c r="Y23" s="53"/>
      <c r="Z23" s="53"/>
      <c r="AA23" s="171"/>
      <c r="AB23" s="53"/>
      <c r="AC23" s="225"/>
      <c r="AD23" s="53"/>
    </row>
    <row r="24" spans="2:30" ht="7.5" customHeight="1" thickTop="1" thickBot="1" x14ac:dyDescent="0.25">
      <c r="B24" s="178"/>
      <c r="C24" s="179"/>
      <c r="D24" s="179"/>
      <c r="E24" s="180"/>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227"/>
      <c r="AD24" s="181"/>
    </row>
    <row r="25" spans="2:30" x14ac:dyDescent="0.2">
      <c r="B25" s="164"/>
      <c r="C25" s="680" t="s">
        <v>3</v>
      </c>
      <c r="D25" s="100"/>
      <c r="E25" s="165" t="s">
        <v>350</v>
      </c>
      <c r="F25" s="132">
        <f>'Dateneingabe Mobilitäten'!G19</f>
        <v>0</v>
      </c>
      <c r="G25" s="132">
        <f>'Dateneingabe Mobilitäten'!H19</f>
        <v>0</v>
      </c>
      <c r="H25" s="211">
        <f>F25+G25</f>
        <v>0</v>
      </c>
      <c r="I25" s="211"/>
      <c r="J25" s="211"/>
      <c r="K25" s="211"/>
      <c r="L25" s="211"/>
      <c r="M25" s="211"/>
      <c r="N25" s="211"/>
      <c r="O25" s="211"/>
      <c r="P25" s="211"/>
      <c r="Q25" s="211"/>
      <c r="R25" s="211"/>
      <c r="S25" s="211"/>
      <c r="T25" s="211"/>
      <c r="U25" s="211"/>
      <c r="V25" s="211"/>
      <c r="W25" s="211"/>
      <c r="X25" s="211">
        <f>'Dateneingabe Mobilitäten'!F19</f>
        <v>0</v>
      </c>
      <c r="Y25" s="211"/>
      <c r="Z25" s="211"/>
      <c r="AA25" s="212">
        <f>H25-X25</f>
        <v>0</v>
      </c>
      <c r="AB25" s="706">
        <f>'Dateneingabe Mobilitäten'!AA19</f>
        <v>0</v>
      </c>
      <c r="AC25" s="709">
        <f>'Dateneingabe Mobilitäten'!AB19</f>
        <v>0</v>
      </c>
      <c r="AD25" s="166"/>
    </row>
    <row r="26" spans="2:30" x14ac:dyDescent="0.2">
      <c r="B26" s="164"/>
      <c r="C26" s="682"/>
      <c r="D26" s="53"/>
      <c r="E26" s="167" t="s">
        <v>375</v>
      </c>
      <c r="F26" s="205">
        <f>'Dateneingabe Mobilitäten'!G20</f>
        <v>0</v>
      </c>
      <c r="G26" s="205">
        <f>'Dateneingabe Mobilitäten'!H20</f>
        <v>0</v>
      </c>
      <c r="H26" s="12">
        <f t="shared" ref="H26:H28" si="6">F26+G26</f>
        <v>0</v>
      </c>
      <c r="I26" s="12"/>
      <c r="J26" s="12"/>
      <c r="K26" s="213" t="s">
        <v>512</v>
      </c>
      <c r="L26" s="213" t="s">
        <v>348</v>
      </c>
      <c r="M26" s="213" t="s">
        <v>347</v>
      </c>
      <c r="N26" s="213" t="s">
        <v>366</v>
      </c>
      <c r="O26" s="213" t="s">
        <v>367</v>
      </c>
      <c r="P26" s="213" t="s">
        <v>343</v>
      </c>
      <c r="Q26" s="213" t="s">
        <v>345</v>
      </c>
      <c r="R26" s="213" t="s">
        <v>344</v>
      </c>
      <c r="S26" s="213" t="s">
        <v>346</v>
      </c>
      <c r="T26" s="213" t="s">
        <v>669</v>
      </c>
      <c r="U26" s="97" t="s">
        <v>911</v>
      </c>
      <c r="V26" s="213" t="s">
        <v>368</v>
      </c>
      <c r="W26" s="213" t="s">
        <v>381</v>
      </c>
      <c r="X26" s="12"/>
      <c r="Y26" s="213"/>
      <c r="Z26" s="12"/>
      <c r="AA26" s="12"/>
      <c r="AB26" s="707"/>
      <c r="AC26" s="710"/>
      <c r="AD26" s="166"/>
    </row>
    <row r="27" spans="2:30" x14ac:dyDescent="0.2">
      <c r="B27" s="164"/>
      <c r="C27" s="682"/>
      <c r="D27" s="53"/>
      <c r="E27" s="167" t="s">
        <v>376</v>
      </c>
      <c r="F27" s="205">
        <f>'Dateneingabe Mobilitäten'!G21</f>
        <v>0</v>
      </c>
      <c r="G27" s="205">
        <f>'Dateneingabe Mobilitäten'!H21</f>
        <v>0</v>
      </c>
      <c r="H27" s="12">
        <f t="shared" si="6"/>
        <v>0</v>
      </c>
      <c r="I27" s="12"/>
      <c r="J27" s="185" t="s">
        <v>511</v>
      </c>
      <c r="K27" s="214">
        <f>MAX(0,J28)</f>
        <v>0</v>
      </c>
      <c r="L27" s="12"/>
      <c r="M27" s="133">
        <f>'Dateneingabe Mobilitäten'!N21</f>
        <v>0</v>
      </c>
      <c r="N27" s="12"/>
      <c r="O27" s="133">
        <f>'Dateneingabe Mobilitäten'!P21</f>
        <v>0</v>
      </c>
      <c r="P27" s="12"/>
      <c r="Q27" s="12"/>
      <c r="R27" s="12"/>
      <c r="S27" s="133">
        <f>'Dateneingabe Mobilitäten'!T21</f>
        <v>0</v>
      </c>
      <c r="T27" s="186">
        <f>'Dateneingabe Mobilitäten'!U21</f>
        <v>0</v>
      </c>
      <c r="U27" s="186">
        <f>'Dateneingabe Mobilitäten'!V21</f>
        <v>0</v>
      </c>
      <c r="V27" s="12"/>
      <c r="W27" s="12"/>
      <c r="X27" s="12"/>
      <c r="Y27" s="12"/>
      <c r="Z27" s="12"/>
      <c r="AA27" s="12"/>
      <c r="AB27" s="707"/>
      <c r="AC27" s="710"/>
      <c r="AD27" s="166"/>
    </row>
    <row r="28" spans="2:30" ht="13.5" thickBot="1" x14ac:dyDescent="0.25">
      <c r="B28" s="164"/>
      <c r="C28" s="681"/>
      <c r="D28" s="168"/>
      <c r="E28" s="169" t="s">
        <v>114</v>
      </c>
      <c r="F28" s="206">
        <f>'Dateneingabe Mobilitäten'!G22</f>
        <v>0</v>
      </c>
      <c r="G28" s="206">
        <f>'Dateneingabe Mobilitäten'!H22</f>
        <v>0</v>
      </c>
      <c r="H28" s="207">
        <f t="shared" si="6"/>
        <v>0</v>
      </c>
      <c r="I28" s="215"/>
      <c r="J28" s="216">
        <f>X28-H28</f>
        <v>0</v>
      </c>
      <c r="K28" s="196"/>
      <c r="L28" s="197">
        <f>Q12</f>
        <v>0</v>
      </c>
      <c r="M28" s="197">
        <f>M27*-1</f>
        <v>0</v>
      </c>
      <c r="N28" s="197">
        <f>Q17</f>
        <v>0</v>
      </c>
      <c r="O28" s="197">
        <f>O27*-1</f>
        <v>0</v>
      </c>
      <c r="P28" s="197"/>
      <c r="Q28" s="197"/>
      <c r="R28" s="197">
        <f>Q32</f>
        <v>0</v>
      </c>
      <c r="S28" s="197">
        <f>S27*-1</f>
        <v>0</v>
      </c>
      <c r="T28" s="197">
        <f t="shared" ref="T28" si="7">T27*-1</f>
        <v>0</v>
      </c>
      <c r="U28" s="197">
        <f t="shared" ref="U28" si="8">U27*-1</f>
        <v>0</v>
      </c>
      <c r="V28" s="197">
        <f>Q46</f>
        <v>0</v>
      </c>
      <c r="W28" s="197">
        <f>Q57+Q61+Q65+Q69+Q73+Q77</f>
        <v>0</v>
      </c>
      <c r="X28" s="197">
        <f>'Dateneingabe Mobilitäten'!F22</f>
        <v>0</v>
      </c>
      <c r="Y28" s="197">
        <f>L28+M28+N28+O28+P28+Q28+R28+S28+V28+W28+T28+U28</f>
        <v>0</v>
      </c>
      <c r="Z28" s="207">
        <f>X28+L28+M28+N28+O28+P28+Q28+R28+S28+V28+W28+T28+U28</f>
        <v>0</v>
      </c>
      <c r="AA28" s="217">
        <f>Z28-H28</f>
        <v>0</v>
      </c>
      <c r="AB28" s="708"/>
      <c r="AC28" s="711"/>
      <c r="AD28" s="166"/>
    </row>
    <row r="29" spans="2:30" ht="13.5" thickBot="1" x14ac:dyDescent="0.25">
      <c r="B29" s="164"/>
      <c r="C29" s="53"/>
      <c r="D29" s="53"/>
      <c r="E29" s="167"/>
      <c r="F29" s="53"/>
      <c r="G29" s="53"/>
      <c r="H29" s="53"/>
      <c r="I29" s="53"/>
      <c r="J29" s="53"/>
      <c r="K29" s="53"/>
      <c r="L29" s="53"/>
      <c r="M29" s="53"/>
      <c r="N29" s="53"/>
      <c r="O29" s="53"/>
      <c r="P29" s="53"/>
      <c r="Q29" s="53"/>
      <c r="R29" s="53"/>
      <c r="S29" s="53"/>
      <c r="T29" s="53"/>
      <c r="U29" s="53"/>
      <c r="V29" s="53"/>
      <c r="W29" s="53"/>
      <c r="X29" s="53"/>
      <c r="Y29" s="53"/>
      <c r="Z29" s="53"/>
      <c r="AA29" s="53"/>
      <c r="AB29" s="570"/>
      <c r="AC29" s="570"/>
      <c r="AD29" s="166"/>
    </row>
    <row r="30" spans="2:30" x14ac:dyDescent="0.2">
      <c r="B30" s="164"/>
      <c r="C30" s="680" t="s">
        <v>4</v>
      </c>
      <c r="D30" s="100"/>
      <c r="E30" s="165" t="s">
        <v>350</v>
      </c>
      <c r="F30" s="132">
        <f>'Dateneingabe Mobilitäten'!G24</f>
        <v>0</v>
      </c>
      <c r="G30" s="132">
        <f>'Dateneingabe Mobilitäten'!H24</f>
        <v>0</v>
      </c>
      <c r="H30" s="211">
        <f>F30+G30</f>
        <v>0</v>
      </c>
      <c r="I30" s="211"/>
      <c r="J30" s="211"/>
      <c r="K30" s="211"/>
      <c r="L30" s="211"/>
      <c r="M30" s="211"/>
      <c r="N30" s="211"/>
      <c r="O30" s="211"/>
      <c r="P30" s="211"/>
      <c r="Q30" s="211"/>
      <c r="R30" s="211"/>
      <c r="S30" s="211"/>
      <c r="T30" s="211"/>
      <c r="U30" s="211"/>
      <c r="V30" s="211"/>
      <c r="W30" s="211"/>
      <c r="X30" s="211">
        <f>'Dateneingabe Mobilitäten'!F24</f>
        <v>0</v>
      </c>
      <c r="Y30" s="211"/>
      <c r="Z30" s="211"/>
      <c r="AA30" s="212">
        <f>H30-X30</f>
        <v>0</v>
      </c>
      <c r="AB30" s="706">
        <f>'Dateneingabe Mobilitäten'!AA24</f>
        <v>0</v>
      </c>
      <c r="AC30" s="709">
        <f>'Dateneingabe Mobilitäten'!AB24</f>
        <v>0</v>
      </c>
      <c r="AD30" s="166"/>
    </row>
    <row r="31" spans="2:30" x14ac:dyDescent="0.2">
      <c r="B31" s="164"/>
      <c r="C31" s="682"/>
      <c r="D31" s="53"/>
      <c r="E31" s="167" t="s">
        <v>375</v>
      </c>
      <c r="F31" s="205">
        <f>'Dateneingabe Mobilitäten'!G25</f>
        <v>0</v>
      </c>
      <c r="G31" s="205">
        <f>'Dateneingabe Mobilitäten'!H25</f>
        <v>0</v>
      </c>
      <c r="H31" s="12">
        <f t="shared" ref="H31:H33" si="9">F31+G31</f>
        <v>0</v>
      </c>
      <c r="I31" s="12"/>
      <c r="J31" s="12"/>
      <c r="K31" s="213" t="s">
        <v>512</v>
      </c>
      <c r="L31" s="213" t="s">
        <v>348</v>
      </c>
      <c r="M31" s="213" t="s">
        <v>347</v>
      </c>
      <c r="N31" s="213" t="s">
        <v>366</v>
      </c>
      <c r="O31" s="213" t="s">
        <v>367</v>
      </c>
      <c r="P31" s="213" t="s">
        <v>343</v>
      </c>
      <c r="Q31" s="213" t="s">
        <v>345</v>
      </c>
      <c r="R31" s="213" t="s">
        <v>344</v>
      </c>
      <c r="S31" s="213" t="s">
        <v>346</v>
      </c>
      <c r="T31" s="213" t="s">
        <v>669</v>
      </c>
      <c r="U31" s="97" t="s">
        <v>911</v>
      </c>
      <c r="V31" s="213" t="s">
        <v>368</v>
      </c>
      <c r="W31" s="213" t="s">
        <v>381</v>
      </c>
      <c r="X31" s="12"/>
      <c r="Y31" s="213"/>
      <c r="Z31" s="12"/>
      <c r="AA31" s="12"/>
      <c r="AB31" s="707"/>
      <c r="AC31" s="710"/>
      <c r="AD31" s="166"/>
    </row>
    <row r="32" spans="2:30" x14ac:dyDescent="0.2">
      <c r="B32" s="164"/>
      <c r="C32" s="682"/>
      <c r="D32" s="53"/>
      <c r="E32" s="167" t="s">
        <v>376</v>
      </c>
      <c r="F32" s="205">
        <f>'Dateneingabe Mobilitäten'!G26</f>
        <v>0</v>
      </c>
      <c r="G32" s="205">
        <f>'Dateneingabe Mobilitäten'!H26</f>
        <v>0</v>
      </c>
      <c r="H32" s="12">
        <f t="shared" si="9"/>
        <v>0</v>
      </c>
      <c r="I32" s="12"/>
      <c r="J32" s="185" t="s">
        <v>511</v>
      </c>
      <c r="K32" s="214">
        <f>MAX(0,J33)</f>
        <v>0</v>
      </c>
      <c r="L32" s="12"/>
      <c r="M32" s="133">
        <f>'Dateneingabe Mobilitäten'!N26</f>
        <v>0</v>
      </c>
      <c r="N32" s="12"/>
      <c r="O32" s="133">
        <f>'Dateneingabe Mobilitäten'!P26</f>
        <v>0</v>
      </c>
      <c r="P32" s="12"/>
      <c r="Q32" s="133">
        <f>'Dateneingabe Mobilitäten'!R26</f>
        <v>0</v>
      </c>
      <c r="R32" s="12"/>
      <c r="S32" s="12"/>
      <c r="T32" s="186">
        <f>'Dateneingabe Mobilitäten'!U26</f>
        <v>0</v>
      </c>
      <c r="U32" s="186">
        <f>'Dateneingabe Mobilitäten'!V26</f>
        <v>0</v>
      </c>
      <c r="V32" s="12"/>
      <c r="W32" s="12"/>
      <c r="X32" s="12"/>
      <c r="Y32" s="12"/>
      <c r="Z32" s="12"/>
      <c r="AA32" s="12"/>
      <c r="AB32" s="707"/>
      <c r="AC32" s="710"/>
      <c r="AD32" s="166"/>
    </row>
    <row r="33" spans="2:30" s="184" customFormat="1" ht="13.5" thickBot="1" x14ac:dyDescent="0.25">
      <c r="B33" s="182"/>
      <c r="C33" s="681"/>
      <c r="D33" s="168"/>
      <c r="E33" s="169" t="s">
        <v>114</v>
      </c>
      <c r="F33" s="206">
        <f>'Dateneingabe Mobilitäten'!G27</f>
        <v>0</v>
      </c>
      <c r="G33" s="206">
        <f>'Dateneingabe Mobilitäten'!H27</f>
        <v>0</v>
      </c>
      <c r="H33" s="207">
        <f t="shared" si="9"/>
        <v>0</v>
      </c>
      <c r="I33" s="215"/>
      <c r="J33" s="216">
        <f>X33-H33</f>
        <v>0</v>
      </c>
      <c r="K33" s="196"/>
      <c r="L33" s="197">
        <f>S12</f>
        <v>0</v>
      </c>
      <c r="M33" s="197">
        <f>M32*-1</f>
        <v>0</v>
      </c>
      <c r="N33" s="197">
        <f>S17</f>
        <v>0</v>
      </c>
      <c r="O33" s="197">
        <f>O32*-1</f>
        <v>0</v>
      </c>
      <c r="P33" s="197">
        <f>S27</f>
        <v>0</v>
      </c>
      <c r="Q33" s="197">
        <f>Q32*-1</f>
        <v>0</v>
      </c>
      <c r="R33" s="197"/>
      <c r="S33" s="197"/>
      <c r="T33" s="197">
        <f t="shared" ref="T33" si="10">T32*-1</f>
        <v>0</v>
      </c>
      <c r="U33" s="197">
        <f t="shared" ref="U33" si="11">U32*-1</f>
        <v>0</v>
      </c>
      <c r="V33" s="197">
        <f>S46</f>
        <v>0</v>
      </c>
      <c r="W33" s="197">
        <f>S57+S61+S65+S69+S73+S77</f>
        <v>0</v>
      </c>
      <c r="X33" s="197">
        <f>'Dateneingabe Mobilitäten'!F27</f>
        <v>0</v>
      </c>
      <c r="Y33" s="197">
        <f>L33+M33+N33+O33+P33+Q33+R33+S33+V33+W33+T33+U33</f>
        <v>0</v>
      </c>
      <c r="Z33" s="207">
        <f>X33+L33+M33+N33+O33+P33+Q33+R33+S33+V33+W33+T33+U33</f>
        <v>0</v>
      </c>
      <c r="AA33" s="217">
        <f>Z33-H33</f>
        <v>0</v>
      </c>
      <c r="AB33" s="708"/>
      <c r="AC33" s="711"/>
      <c r="AD33" s="183"/>
    </row>
    <row r="34" spans="2:30" ht="13.5" thickBot="1" x14ac:dyDescent="0.25">
      <c r="B34" s="164"/>
      <c r="C34" s="12"/>
      <c r="D34" s="12"/>
      <c r="E34" s="185"/>
      <c r="F34" s="186"/>
      <c r="G34" s="186"/>
      <c r="H34" s="12"/>
      <c r="I34" s="12"/>
      <c r="J34" s="12"/>
      <c r="K34" s="12"/>
      <c r="L34" s="186"/>
      <c r="M34" s="186"/>
      <c r="N34" s="186"/>
      <c r="O34" s="186"/>
      <c r="P34" s="186"/>
      <c r="Q34" s="186"/>
      <c r="R34" s="186"/>
      <c r="S34" s="186"/>
      <c r="T34" s="186"/>
      <c r="U34" s="186"/>
      <c r="V34" s="186"/>
      <c r="W34" s="186"/>
      <c r="X34" s="186"/>
      <c r="Y34" s="186"/>
      <c r="Z34" s="186"/>
      <c r="AA34" s="186"/>
      <c r="AB34" s="53"/>
      <c r="AC34" s="225"/>
      <c r="AD34" s="166"/>
    </row>
    <row r="35" spans="2:30" x14ac:dyDescent="0.2">
      <c r="B35" s="164"/>
      <c r="C35" s="687" t="s">
        <v>374</v>
      </c>
      <c r="D35" s="229"/>
      <c r="E35" s="230" t="s">
        <v>350</v>
      </c>
      <c r="F35" s="231">
        <f t="shared" ref="F35:H35" si="12">F25+F30</f>
        <v>0</v>
      </c>
      <c r="G35" s="231">
        <f t="shared" si="12"/>
        <v>0</v>
      </c>
      <c r="H35" s="231">
        <f t="shared" si="12"/>
        <v>0</v>
      </c>
      <c r="I35" s="231"/>
      <c r="J35" s="231"/>
      <c r="K35" s="231"/>
      <c r="L35" s="231"/>
      <c r="M35" s="231"/>
      <c r="N35" s="231"/>
      <c r="O35" s="232" t="s">
        <v>372</v>
      </c>
      <c r="P35" s="233"/>
      <c r="Q35" s="233"/>
      <c r="R35" s="233"/>
      <c r="S35" s="232" t="s">
        <v>373</v>
      </c>
      <c r="T35" s="232" t="s">
        <v>669</v>
      </c>
      <c r="U35" s="232" t="s">
        <v>911</v>
      </c>
      <c r="V35" s="233"/>
      <c r="W35" s="232"/>
      <c r="X35" s="231">
        <f>X25+X30</f>
        <v>0</v>
      </c>
      <c r="Y35" s="232"/>
      <c r="Z35" s="231"/>
      <c r="AA35" s="234">
        <f>H35-X35</f>
        <v>0</v>
      </c>
      <c r="AB35" s="689">
        <f>'Dateneingabe Mobilitäten'!AA29</f>
        <v>0</v>
      </c>
      <c r="AC35" s="691">
        <f>'Dateneingabe Mobilitäten'!AB29</f>
        <v>0</v>
      </c>
      <c r="AD35" s="183"/>
    </row>
    <row r="36" spans="2:30" ht="13.5" thickBot="1" x14ac:dyDescent="0.25">
      <c r="B36" s="164"/>
      <c r="C36" s="688"/>
      <c r="D36" s="235"/>
      <c r="E36" s="236" t="s">
        <v>114</v>
      </c>
      <c r="F36" s="237">
        <f t="shared" ref="F36:H36" si="13">F28+F33</f>
        <v>0</v>
      </c>
      <c r="G36" s="237">
        <f t="shared" si="13"/>
        <v>0</v>
      </c>
      <c r="H36" s="237">
        <f t="shared" si="13"/>
        <v>0</v>
      </c>
      <c r="I36" s="238"/>
      <c r="J36" s="238"/>
      <c r="K36" s="238"/>
      <c r="L36" s="237"/>
      <c r="M36" s="238"/>
      <c r="N36" s="238"/>
      <c r="O36" s="237">
        <f>M28+O28+M33+O33</f>
        <v>0</v>
      </c>
      <c r="P36" s="237"/>
      <c r="Q36" s="238"/>
      <c r="R36" s="239"/>
      <c r="S36" s="237">
        <f>'Dateneingabe Mobilitäten'!T30</f>
        <v>0</v>
      </c>
      <c r="T36" s="237">
        <f>'Dateneingabe Mobilitäten'!U30</f>
        <v>0</v>
      </c>
      <c r="U36" s="237">
        <f>'Dateneingabe Mobilitäten'!V30</f>
        <v>0</v>
      </c>
      <c r="V36" s="237"/>
      <c r="W36" s="237"/>
      <c r="X36" s="237">
        <f>X28+X33</f>
        <v>0</v>
      </c>
      <c r="Y36" s="237">
        <f>Y28+Y33</f>
        <v>0</v>
      </c>
      <c r="Z36" s="237">
        <f>X36+O36+S36+T36+U36</f>
        <v>0</v>
      </c>
      <c r="AA36" s="237">
        <f>Z36-H36</f>
        <v>0</v>
      </c>
      <c r="AB36" s="690"/>
      <c r="AC36" s="692"/>
      <c r="AD36" s="183"/>
    </row>
    <row r="37" spans="2:30" ht="7.5" customHeight="1" thickBot="1" x14ac:dyDescent="0.25">
      <c r="B37" s="173"/>
      <c r="C37" s="187"/>
      <c r="D37" s="187"/>
      <c r="E37" s="188"/>
      <c r="F37" s="189"/>
      <c r="G37" s="189"/>
      <c r="H37" s="187"/>
      <c r="I37" s="187"/>
      <c r="J37" s="187"/>
      <c r="K37" s="187"/>
      <c r="L37" s="189"/>
      <c r="M37" s="189"/>
      <c r="N37" s="189"/>
      <c r="O37" s="189"/>
      <c r="P37" s="189"/>
      <c r="Q37" s="189"/>
      <c r="R37" s="189"/>
      <c r="S37" s="189"/>
      <c r="T37" s="189"/>
      <c r="U37" s="189"/>
      <c r="V37" s="189"/>
      <c r="W37" s="189"/>
      <c r="X37" s="189"/>
      <c r="Y37" s="189"/>
      <c r="Z37" s="189"/>
      <c r="AA37" s="189"/>
      <c r="AB37" s="174"/>
      <c r="AC37" s="226"/>
      <c r="AD37" s="177"/>
    </row>
    <row r="38" spans="2:30" ht="14.25" thickTop="1" thickBot="1" x14ac:dyDescent="0.25">
      <c r="C38" s="184"/>
      <c r="D38" s="184"/>
      <c r="E38" s="190"/>
      <c r="F38" s="186"/>
      <c r="G38" s="186"/>
      <c r="H38" s="191"/>
      <c r="I38" s="184"/>
      <c r="J38" s="184"/>
      <c r="K38" s="184"/>
      <c r="L38" s="186"/>
      <c r="M38" s="186"/>
      <c r="N38" s="186"/>
      <c r="O38" s="186"/>
      <c r="P38" s="186"/>
      <c r="Q38" s="186"/>
      <c r="R38" s="186"/>
      <c r="S38" s="186"/>
      <c r="T38" s="186"/>
      <c r="U38" s="186"/>
      <c r="V38" s="186"/>
      <c r="W38" s="186"/>
      <c r="X38" s="191"/>
      <c r="Y38" s="186"/>
      <c r="Z38" s="191"/>
      <c r="AA38" s="191">
        <f>AA13+AA18+AA28+AA33</f>
        <v>0</v>
      </c>
      <c r="AB38" s="192"/>
      <c r="AC38" s="228"/>
    </row>
    <row r="39" spans="2:30" ht="7.5" customHeight="1" thickTop="1" thickBot="1" x14ac:dyDescent="0.25">
      <c r="B39" s="178"/>
      <c r="C39" s="193"/>
      <c r="D39" s="193"/>
      <c r="E39" s="194"/>
      <c r="F39" s="195"/>
      <c r="G39" s="195"/>
      <c r="H39" s="193"/>
      <c r="I39" s="193"/>
      <c r="J39" s="193"/>
      <c r="K39" s="193"/>
      <c r="L39" s="195"/>
      <c r="M39" s="195"/>
      <c r="N39" s="195"/>
      <c r="O39" s="195"/>
      <c r="P39" s="195"/>
      <c r="Q39" s="195"/>
      <c r="R39" s="195"/>
      <c r="S39" s="195"/>
      <c r="T39" s="195"/>
      <c r="U39" s="195"/>
      <c r="V39" s="195"/>
      <c r="W39" s="195"/>
      <c r="X39" s="195"/>
      <c r="Y39" s="195"/>
      <c r="Z39" s="195"/>
      <c r="AA39" s="195"/>
      <c r="AB39" s="179"/>
      <c r="AC39" s="227"/>
      <c r="AD39" s="181"/>
    </row>
    <row r="40" spans="2:30" x14ac:dyDescent="0.2">
      <c r="B40" s="164"/>
      <c r="C40" s="680" t="s">
        <v>365</v>
      </c>
      <c r="D40" s="100"/>
      <c r="E40" s="165" t="s">
        <v>350</v>
      </c>
      <c r="F40" s="132">
        <f>'Dateneingabe Mobilitäten'!G34</f>
        <v>0</v>
      </c>
      <c r="G40" s="132">
        <f>'Dateneingabe Mobilitäten'!H34</f>
        <v>0</v>
      </c>
      <c r="H40" s="211">
        <f>F40+G40</f>
        <v>0</v>
      </c>
      <c r="I40" s="211"/>
      <c r="J40" s="211"/>
      <c r="K40" s="211"/>
      <c r="L40" s="98" t="s">
        <v>348</v>
      </c>
      <c r="M40" s="100"/>
      <c r="N40" s="100" t="s">
        <v>936</v>
      </c>
      <c r="O40" s="98"/>
      <c r="P40" s="100" t="s">
        <v>343</v>
      </c>
      <c r="Q40" s="100"/>
      <c r="R40" s="100" t="s">
        <v>344</v>
      </c>
      <c r="S40" s="100"/>
      <c r="T40" s="100"/>
      <c r="U40" s="100"/>
      <c r="V40" s="100" t="s">
        <v>368</v>
      </c>
      <c r="W40" s="100" t="s">
        <v>381</v>
      </c>
      <c r="X40" s="100"/>
      <c r="Y40" s="100"/>
      <c r="Z40" s="100"/>
      <c r="AA40" s="100"/>
      <c r="AB40" s="685" t="str">
        <f>'Dateneingabe Mobilitäten'!AA34</f>
        <v/>
      </c>
      <c r="AC40" s="683">
        <f>'Dateneingabe Mobilitäten'!AB34</f>
        <v>0</v>
      </c>
      <c r="AD40" s="166"/>
    </row>
    <row r="41" spans="2:30" ht="13.5" thickBot="1" x14ac:dyDescent="0.25">
      <c r="B41" s="164"/>
      <c r="C41" s="681"/>
      <c r="D41" s="168"/>
      <c r="E41" s="169" t="s">
        <v>114</v>
      </c>
      <c r="F41" s="206">
        <f>'Dateneingabe Mobilitäten'!G35</f>
        <v>0</v>
      </c>
      <c r="G41" s="206">
        <f>'Dateneingabe Mobilitäten'!H35</f>
        <v>0</v>
      </c>
      <c r="H41" s="207">
        <f>F41+G41</f>
        <v>0</v>
      </c>
      <c r="I41" s="196"/>
      <c r="J41" s="196"/>
      <c r="K41" s="196"/>
      <c r="L41" s="197">
        <f>'Dateneingabe Mobilitäten'!M36</f>
        <v>0</v>
      </c>
      <c r="M41" s="197"/>
      <c r="N41" s="197">
        <f>'Dateneingabe Mobilitäten'!O36</f>
        <v>0</v>
      </c>
      <c r="O41" s="197"/>
      <c r="P41" s="197">
        <f>'Dateneingabe Mobilitäten'!Q36</f>
        <v>0</v>
      </c>
      <c r="Q41" s="197"/>
      <c r="R41" s="197">
        <f>'Dateneingabe Mobilitäten'!S36</f>
        <v>0</v>
      </c>
      <c r="S41" s="197"/>
      <c r="T41" s="197"/>
      <c r="U41" s="197"/>
      <c r="V41" s="197">
        <f>'Dateneingabe Mobilitäten'!W36</f>
        <v>0</v>
      </c>
      <c r="W41" s="197">
        <f>'Dateneingabe Mobilitäten'!X36</f>
        <v>0</v>
      </c>
      <c r="X41" s="197">
        <f>'Dateneingabe Mobilitäten'!F46</f>
        <v>0</v>
      </c>
      <c r="Y41" s="197">
        <f>L41+M41+N41+O41+P41+Q41+R41+S41+V41+W41</f>
        <v>0</v>
      </c>
      <c r="Z41" s="197">
        <f>X41+W41+V41+R41+P41+N41+L41</f>
        <v>0</v>
      </c>
      <c r="AA41" s="197">
        <f>'Dateneingabe Mobilitäten'!Z36</f>
        <v>0</v>
      </c>
      <c r="AB41" s="686"/>
      <c r="AC41" s="684"/>
      <c r="AD41" s="166"/>
    </row>
    <row r="42" spans="2:30" ht="7.5" customHeight="1" thickBot="1" x14ac:dyDescent="0.25">
      <c r="B42" s="173"/>
      <c r="C42" s="187"/>
      <c r="D42" s="187"/>
      <c r="E42" s="188"/>
      <c r="F42" s="189"/>
      <c r="G42" s="189"/>
      <c r="H42" s="187"/>
      <c r="I42" s="187"/>
      <c r="J42" s="187"/>
      <c r="K42" s="187"/>
      <c r="L42" s="189"/>
      <c r="M42" s="189"/>
      <c r="N42" s="189"/>
      <c r="O42" s="189"/>
      <c r="P42" s="189"/>
      <c r="Q42" s="189"/>
      <c r="R42" s="189"/>
      <c r="S42" s="189"/>
      <c r="T42" s="189"/>
      <c r="U42" s="189"/>
      <c r="V42" s="189"/>
      <c r="W42" s="189"/>
      <c r="X42" s="189"/>
      <c r="Y42" s="189"/>
      <c r="Z42" s="189"/>
      <c r="AA42" s="189"/>
      <c r="AB42" s="174"/>
      <c r="AC42" s="226"/>
      <c r="AD42" s="177"/>
    </row>
    <row r="43" spans="2:30" ht="14.25" thickTop="1" thickBot="1" x14ac:dyDescent="0.25">
      <c r="C43" s="12"/>
      <c r="D43" s="12"/>
      <c r="E43" s="185"/>
      <c r="F43" s="186"/>
      <c r="G43" s="186"/>
      <c r="H43" s="12"/>
      <c r="I43" s="184"/>
      <c r="J43" s="184"/>
      <c r="K43" s="184"/>
      <c r="L43" s="186"/>
      <c r="M43" s="186"/>
      <c r="N43" s="186"/>
      <c r="O43" s="186"/>
      <c r="P43" s="186"/>
      <c r="Q43" s="186"/>
      <c r="R43" s="186"/>
      <c r="S43" s="186"/>
      <c r="T43" s="186"/>
      <c r="U43" s="186"/>
      <c r="V43" s="186"/>
      <c r="W43" s="186"/>
      <c r="X43" s="186"/>
      <c r="Y43" s="186"/>
      <c r="Z43" s="191"/>
      <c r="AA43" s="191"/>
      <c r="AC43" s="228"/>
    </row>
    <row r="44" spans="2:30" ht="7.5" customHeight="1" thickTop="1" thickBot="1" x14ac:dyDescent="0.25">
      <c r="B44" s="178"/>
      <c r="C44" s="179"/>
      <c r="D44" s="179"/>
      <c r="E44" s="180"/>
      <c r="F44" s="199"/>
      <c r="G44" s="199"/>
      <c r="H44" s="179"/>
      <c r="I44" s="179"/>
      <c r="J44" s="179"/>
      <c r="K44" s="179"/>
      <c r="L44" s="179"/>
      <c r="M44" s="179"/>
      <c r="N44" s="179"/>
      <c r="O44" s="179"/>
      <c r="P44" s="179"/>
      <c r="Q44" s="179"/>
      <c r="R44" s="179"/>
      <c r="S44" s="179"/>
      <c r="T44" s="179"/>
      <c r="U44" s="179"/>
      <c r="V44" s="179"/>
      <c r="W44" s="179"/>
      <c r="X44" s="198"/>
      <c r="Y44" s="179"/>
      <c r="Z44" s="179"/>
      <c r="AA44" s="179"/>
      <c r="AB44" s="179"/>
      <c r="AC44" s="227"/>
      <c r="AD44" s="181"/>
    </row>
    <row r="45" spans="2:30" x14ac:dyDescent="0.2">
      <c r="B45" s="164"/>
      <c r="C45" s="680" t="s">
        <v>354</v>
      </c>
      <c r="D45" s="100"/>
      <c r="E45" s="165" t="s">
        <v>350</v>
      </c>
      <c r="F45" s="200">
        <f>F10+F15+F25+F30</f>
        <v>0</v>
      </c>
      <c r="G45" s="200">
        <f>G10+G15+G25+G30</f>
        <v>0</v>
      </c>
      <c r="H45" s="211">
        <f>F45+G45</f>
        <v>0</v>
      </c>
      <c r="I45" s="211"/>
      <c r="J45" s="211"/>
      <c r="K45" s="218" t="s">
        <v>512</v>
      </c>
      <c r="L45" s="218"/>
      <c r="M45" s="218" t="s">
        <v>347</v>
      </c>
      <c r="N45" s="218"/>
      <c r="O45" s="218" t="s">
        <v>367</v>
      </c>
      <c r="P45" s="218"/>
      <c r="Q45" s="218" t="s">
        <v>345</v>
      </c>
      <c r="R45" s="218"/>
      <c r="S45" s="218" t="s">
        <v>346</v>
      </c>
      <c r="T45" s="218" t="s">
        <v>669</v>
      </c>
      <c r="U45" s="218"/>
      <c r="V45" s="221"/>
      <c r="W45" s="221"/>
      <c r="X45" s="219">
        <f>'Dateneingabe Mobilitäten'!F40</f>
        <v>0</v>
      </c>
      <c r="Y45" s="221"/>
      <c r="Z45" s="220"/>
      <c r="AA45" s="201"/>
      <c r="AB45" s="677">
        <f>'Dateneingabe Mobilitäten'!AA40</f>
        <v>0</v>
      </c>
      <c r="AC45" s="677">
        <f>'Dateneingabe Mobilitäten'!AB40</f>
        <v>0</v>
      </c>
      <c r="AD45" s="166"/>
    </row>
    <row r="46" spans="2:30" x14ac:dyDescent="0.2">
      <c r="B46" s="164"/>
      <c r="C46" s="682"/>
      <c r="D46" s="53"/>
      <c r="E46" s="185" t="s">
        <v>509</v>
      </c>
      <c r="F46" s="222"/>
      <c r="G46" s="223" t="str">
        <f>IF(AND('Ausdruck 2'!H45&lt;OS!C8,'Ausdruck 2'!H45&gt;OS!C23),"10% Toleranz","")</f>
        <v/>
      </c>
      <c r="H46" s="186">
        <f>OS!D31</f>
        <v>0</v>
      </c>
      <c r="I46" s="12"/>
      <c r="J46" s="185"/>
      <c r="K46" s="214">
        <f>MAX(0,H47)</f>
        <v>0</v>
      </c>
      <c r="L46" s="12"/>
      <c r="M46" s="133">
        <f>'Dateneingabe Mobilitäten'!N41</f>
        <v>0</v>
      </c>
      <c r="N46" s="12"/>
      <c r="O46" s="133">
        <f>'Dateneingabe Mobilitäten'!P41</f>
        <v>0</v>
      </c>
      <c r="P46" s="12"/>
      <c r="Q46" s="133">
        <f>'Dateneingabe Mobilitäten'!R41</f>
        <v>0</v>
      </c>
      <c r="R46" s="12"/>
      <c r="S46" s="133">
        <f>'Dateneingabe Mobilitäten'!T41</f>
        <v>0</v>
      </c>
      <c r="T46" s="133">
        <f>'Dateneingabe Mobilitäten'!U41</f>
        <v>0</v>
      </c>
      <c r="U46" s="186"/>
      <c r="V46" s="186">
        <f>M46+O46+Q46+S46+T46</f>
        <v>0</v>
      </c>
      <c r="W46" s="12"/>
      <c r="X46" s="186">
        <f>'Dateneingabe Mobilitäten'!F41</f>
        <v>0</v>
      </c>
      <c r="Y46" s="12"/>
      <c r="Z46" s="111"/>
      <c r="AA46" s="210">
        <f>H46-H47</f>
        <v>0</v>
      </c>
      <c r="AB46" s="678"/>
      <c r="AC46" s="678"/>
      <c r="AD46" s="166"/>
    </row>
    <row r="47" spans="2:30" x14ac:dyDescent="0.2">
      <c r="B47" s="164"/>
      <c r="C47" s="682"/>
      <c r="D47" s="53"/>
      <c r="E47" s="185" t="s">
        <v>114</v>
      </c>
      <c r="F47" s="222"/>
      <c r="G47" s="223"/>
      <c r="H47" s="255">
        <f>'Dateneingabe Mobilitäten'!I42</f>
        <v>0</v>
      </c>
      <c r="I47" s="12"/>
      <c r="J47" s="185"/>
      <c r="K47" s="214"/>
      <c r="L47" s="12"/>
      <c r="M47" s="186"/>
      <c r="N47" s="12"/>
      <c r="O47" s="186"/>
      <c r="P47" s="12"/>
      <c r="Q47" s="186"/>
      <c r="R47" s="12"/>
      <c r="S47" s="186"/>
      <c r="T47" s="186"/>
      <c r="U47" s="186"/>
      <c r="V47" s="186"/>
      <c r="W47" s="12"/>
      <c r="X47" s="186"/>
      <c r="Y47" s="186">
        <f>L48+M48+N48+O48+P48+Q48+R48+S48+T48</f>
        <v>0</v>
      </c>
      <c r="Z47" s="256">
        <f>H47+L48+M48+N48+O48+P48+Q48+R48+S48+V48+T48</f>
        <v>0</v>
      </c>
      <c r="AA47" s="210"/>
      <c r="AB47" s="678"/>
      <c r="AC47" s="678"/>
      <c r="AD47" s="166"/>
    </row>
    <row r="48" spans="2:30" ht="13.5" thickBot="1" x14ac:dyDescent="0.25">
      <c r="B48" s="164"/>
      <c r="C48" s="681"/>
      <c r="D48" s="168"/>
      <c r="E48" s="169" t="s">
        <v>114</v>
      </c>
      <c r="F48" s="224"/>
      <c r="G48" s="262" t="s">
        <v>516</v>
      </c>
      <c r="H48" s="260">
        <f>'Dateneingabe Mobilitäten'!I43</f>
        <v>0</v>
      </c>
      <c r="I48" s="196"/>
      <c r="J48" s="216"/>
      <c r="K48" s="196"/>
      <c r="L48" s="197"/>
      <c r="M48" s="197">
        <f>M46*-1</f>
        <v>0</v>
      </c>
      <c r="N48" s="197"/>
      <c r="O48" s="197">
        <f>O46*-1</f>
        <v>0</v>
      </c>
      <c r="P48" s="197"/>
      <c r="Q48" s="197">
        <f>Q46*-1</f>
        <v>0</v>
      </c>
      <c r="R48" s="197"/>
      <c r="S48" s="197">
        <f>S46*-1</f>
        <v>0</v>
      </c>
      <c r="T48" s="197">
        <f>T46*-1</f>
        <v>0</v>
      </c>
      <c r="U48" s="197"/>
      <c r="V48" s="197"/>
      <c r="W48" s="197"/>
      <c r="X48" s="224"/>
      <c r="Y48" s="197"/>
      <c r="Z48" s="217"/>
      <c r="AA48" s="170">
        <f>H46-H47</f>
        <v>0</v>
      </c>
      <c r="AB48" s="679"/>
      <c r="AC48" s="679"/>
      <c r="AD48" s="166"/>
    </row>
    <row r="49" spans="2:30" ht="13.5" thickBot="1" x14ac:dyDescent="0.25">
      <c r="B49" s="164"/>
      <c r="C49" s="53"/>
      <c r="D49" s="53"/>
      <c r="E49" s="167"/>
      <c r="F49" s="12"/>
      <c r="G49" s="12"/>
      <c r="H49" s="12"/>
      <c r="I49" s="12"/>
      <c r="J49" s="12"/>
      <c r="K49" s="12"/>
      <c r="L49" s="12"/>
      <c r="M49" s="12"/>
      <c r="N49" s="12"/>
      <c r="O49" s="12"/>
      <c r="P49" s="12"/>
      <c r="Q49" s="12"/>
      <c r="R49" s="12"/>
      <c r="S49" s="12"/>
      <c r="T49" s="12"/>
      <c r="U49" s="12"/>
      <c r="V49" s="12"/>
      <c r="W49" s="12"/>
      <c r="X49" s="12"/>
      <c r="Y49" s="12"/>
      <c r="Z49" s="12"/>
      <c r="AA49" s="53"/>
      <c r="AB49" s="53"/>
      <c r="AC49" s="225"/>
      <c r="AD49" s="166"/>
    </row>
    <row r="50" spans="2:30" x14ac:dyDescent="0.2">
      <c r="B50" s="164"/>
      <c r="C50" s="680" t="s">
        <v>359</v>
      </c>
      <c r="D50" s="100"/>
      <c r="E50" s="165" t="s">
        <v>350</v>
      </c>
      <c r="F50" s="211">
        <f>'Dateneingabe Mobilitäten'!G45</f>
        <v>0</v>
      </c>
      <c r="G50" s="211">
        <f>'Dateneingabe Mobilitäten'!H60</f>
        <v>0</v>
      </c>
      <c r="H50" s="219">
        <f>'Dateneingabe Mobilitäten'!I45</f>
        <v>0</v>
      </c>
      <c r="I50" s="211"/>
      <c r="J50" s="211"/>
      <c r="K50" s="218" t="s">
        <v>512</v>
      </c>
      <c r="L50" s="218"/>
      <c r="M50" s="218"/>
      <c r="N50" s="218" t="s">
        <v>348</v>
      </c>
      <c r="O50" s="218"/>
      <c r="P50" s="218" t="s">
        <v>366</v>
      </c>
      <c r="Q50" s="218"/>
      <c r="R50" s="218" t="s">
        <v>343</v>
      </c>
      <c r="S50" s="218"/>
      <c r="T50" s="218" t="s">
        <v>344</v>
      </c>
      <c r="U50" s="218"/>
      <c r="V50" s="221"/>
      <c r="W50" s="218" t="s">
        <v>381</v>
      </c>
      <c r="X50" s="219">
        <f>'Dateneingabe Mobilitäten'!F45</f>
        <v>0</v>
      </c>
      <c r="Y50" s="221"/>
      <c r="Z50" s="220"/>
      <c r="AA50" s="201"/>
      <c r="AB50" s="53"/>
      <c r="AC50" s="677">
        <f>'Dateneingabe Mobilitäten'!AB34</f>
        <v>0</v>
      </c>
      <c r="AD50" s="166"/>
    </row>
    <row r="51" spans="2:30" x14ac:dyDescent="0.2">
      <c r="B51" s="164"/>
      <c r="C51" s="682"/>
      <c r="D51" s="53"/>
      <c r="E51" s="185" t="s">
        <v>509</v>
      </c>
      <c r="F51" s="12"/>
      <c r="G51" s="12"/>
      <c r="H51" s="186">
        <f>'Dateneingabe Mobilitäten'!I46</f>
        <v>0</v>
      </c>
      <c r="I51" s="12"/>
      <c r="J51" s="185"/>
      <c r="K51" s="214">
        <f>MAX(0,H52)</f>
        <v>0</v>
      </c>
      <c r="L51" s="12"/>
      <c r="M51" s="12"/>
      <c r="N51" s="133">
        <f>'Dateneingabe Mobilitäten'!M47</f>
        <v>0</v>
      </c>
      <c r="O51" s="12"/>
      <c r="P51" s="133">
        <f>'Dateneingabe Mobilitäten'!O47</f>
        <v>0</v>
      </c>
      <c r="Q51" s="12"/>
      <c r="R51" s="133">
        <f>'Dateneingabe Mobilitäten'!Q47</f>
        <v>0</v>
      </c>
      <c r="S51" s="12"/>
      <c r="T51" s="133">
        <f>'Dateneingabe Mobilitäten'!S47</f>
        <v>0</v>
      </c>
      <c r="U51" s="186"/>
      <c r="V51" s="12"/>
      <c r="W51" s="133">
        <f>'Dateneingabe Mobilitäten'!X47</f>
        <v>0</v>
      </c>
      <c r="X51" s="186">
        <f>'Dateneingabe Mobilitäten'!F46</f>
        <v>0</v>
      </c>
      <c r="Y51" s="12"/>
      <c r="Z51" s="111"/>
      <c r="AA51" s="202"/>
      <c r="AB51" s="53"/>
      <c r="AC51" s="678"/>
      <c r="AD51" s="166"/>
    </row>
    <row r="52" spans="2:30" ht="13.5" thickBot="1" x14ac:dyDescent="0.25">
      <c r="B52" s="164"/>
      <c r="C52" s="681"/>
      <c r="D52" s="168"/>
      <c r="E52" s="571" t="s">
        <v>1035</v>
      </c>
      <c r="F52" s="196"/>
      <c r="G52" s="196"/>
      <c r="H52" s="207">
        <f>'Dateneingabe Mobilitäten'!I47</f>
        <v>0</v>
      </c>
      <c r="I52" s="196"/>
      <c r="J52" s="571"/>
      <c r="K52" s="216"/>
      <c r="L52" s="196"/>
      <c r="M52" s="196"/>
      <c r="N52" s="197"/>
      <c r="O52" s="196"/>
      <c r="P52" s="197"/>
      <c r="Q52" s="196"/>
      <c r="R52" s="197"/>
      <c r="S52" s="196"/>
      <c r="T52" s="197"/>
      <c r="U52" s="197"/>
      <c r="V52" s="196"/>
      <c r="W52" s="197"/>
      <c r="X52" s="197"/>
      <c r="Y52" s="197">
        <f>N51+P51+R51+T51+W51</f>
        <v>0</v>
      </c>
      <c r="Z52" s="572">
        <f>X51+W51+T51+R51+P51+N51</f>
        <v>0</v>
      </c>
      <c r="AA52" s="202"/>
      <c r="AB52" s="53"/>
      <c r="AC52" s="679"/>
      <c r="AD52" s="166"/>
    </row>
    <row r="53" spans="2:30" ht="7.5" customHeight="1" thickBot="1" x14ac:dyDescent="0.25">
      <c r="B53" s="173"/>
      <c r="C53" s="174"/>
      <c r="D53" s="174"/>
      <c r="E53" s="175"/>
      <c r="F53" s="187"/>
      <c r="G53" s="187"/>
      <c r="H53" s="187"/>
      <c r="I53" s="187"/>
      <c r="J53" s="187"/>
      <c r="K53" s="187"/>
      <c r="L53" s="187"/>
      <c r="M53" s="187"/>
      <c r="N53" s="187"/>
      <c r="O53" s="187"/>
      <c r="P53" s="187"/>
      <c r="Q53" s="187"/>
      <c r="R53" s="187"/>
      <c r="S53" s="187"/>
      <c r="T53" s="187"/>
      <c r="U53" s="187"/>
      <c r="V53" s="187"/>
      <c r="W53" s="187"/>
      <c r="X53" s="187"/>
      <c r="Y53" s="187"/>
      <c r="Z53" s="187"/>
      <c r="AA53" s="174"/>
      <c r="AB53" s="174"/>
      <c r="AC53" s="226"/>
      <c r="AD53" s="177"/>
    </row>
    <row r="54" spans="2:30" ht="14.25" thickTop="1" thickBot="1" x14ac:dyDescent="0.25">
      <c r="F54" s="184"/>
      <c r="G54" s="184"/>
      <c r="H54" s="184"/>
      <c r="I54" s="184"/>
      <c r="J54" s="184"/>
      <c r="K54" s="184"/>
      <c r="L54" s="184"/>
      <c r="M54" s="184"/>
      <c r="N54" s="184"/>
      <c r="O54" s="184"/>
      <c r="P54" s="184"/>
      <c r="Q54" s="184"/>
      <c r="R54" s="184"/>
      <c r="S54" s="184"/>
      <c r="T54" s="184"/>
      <c r="U54" s="184"/>
      <c r="V54" s="184"/>
      <c r="W54" s="184"/>
      <c r="X54" s="184"/>
      <c r="Y54" s="184"/>
      <c r="Z54" s="184"/>
      <c r="AC54" s="228"/>
    </row>
    <row r="55" spans="2:30" ht="7.5" customHeight="1" thickTop="1" thickBot="1" x14ac:dyDescent="0.25">
      <c r="B55" s="178"/>
      <c r="C55" s="179"/>
      <c r="D55" s="179"/>
      <c r="E55" s="180"/>
      <c r="F55" s="193"/>
      <c r="G55" s="193"/>
      <c r="H55" s="193"/>
      <c r="I55" s="193"/>
      <c r="J55" s="193"/>
      <c r="K55" s="193"/>
      <c r="L55" s="193"/>
      <c r="M55" s="193"/>
      <c r="N55" s="193"/>
      <c r="O55" s="193"/>
      <c r="P55" s="193"/>
      <c r="Q55" s="193"/>
      <c r="R55" s="193"/>
      <c r="S55" s="193"/>
      <c r="T55" s="193"/>
      <c r="U55" s="193"/>
      <c r="V55" s="193"/>
      <c r="W55" s="193"/>
      <c r="X55" s="193"/>
      <c r="Y55" s="193"/>
      <c r="Z55" s="193"/>
      <c r="AA55" s="179"/>
      <c r="AB55" s="179"/>
      <c r="AC55" s="227"/>
      <c r="AD55" s="181"/>
    </row>
    <row r="56" spans="2:30" x14ac:dyDescent="0.2">
      <c r="B56" s="164"/>
      <c r="C56" s="599" t="s">
        <v>912</v>
      </c>
      <c r="D56" s="100"/>
      <c r="E56" s="165" t="s">
        <v>350</v>
      </c>
      <c r="F56" s="132">
        <f>'Dateneingabe Mobilitäten'!G52</f>
        <v>0</v>
      </c>
      <c r="G56" s="132">
        <f>'Dateneingabe Mobilitäten'!H52</f>
        <v>0</v>
      </c>
      <c r="H56" s="211">
        <f>F56+G56</f>
        <v>0</v>
      </c>
      <c r="I56" s="211"/>
      <c r="J56" s="211"/>
      <c r="K56" s="218" t="s">
        <v>512</v>
      </c>
      <c r="L56" s="218"/>
      <c r="M56" s="218" t="s">
        <v>347</v>
      </c>
      <c r="N56" s="218"/>
      <c r="O56" s="218" t="s">
        <v>367</v>
      </c>
      <c r="P56" s="218"/>
      <c r="Q56" s="218" t="s">
        <v>345</v>
      </c>
      <c r="R56" s="218"/>
      <c r="S56" s="218" t="s">
        <v>346</v>
      </c>
      <c r="T56" s="98" t="s">
        <v>669</v>
      </c>
      <c r="U56" s="98" t="s">
        <v>935</v>
      </c>
      <c r="V56" s="221"/>
      <c r="W56" s="221"/>
      <c r="X56" s="211">
        <f>'Dateneingabe Mobilitäten'!F52</f>
        <v>0</v>
      </c>
      <c r="Y56" s="221"/>
      <c r="Z56" s="220"/>
      <c r="AA56" s="201"/>
      <c r="AB56" s="677">
        <f>'Dateneingabe Mobilitäten'!AA52</f>
        <v>0</v>
      </c>
      <c r="AC56" s="677">
        <f>'Dateneingabe Mobilitäten'!AB52</f>
        <v>0</v>
      </c>
      <c r="AD56" s="166"/>
    </row>
    <row r="57" spans="2:30" x14ac:dyDescent="0.2">
      <c r="B57" s="164"/>
      <c r="C57" s="600"/>
      <c r="D57" s="53"/>
      <c r="E57" s="167"/>
      <c r="F57" s="205"/>
      <c r="G57" s="205"/>
      <c r="H57" s="12"/>
      <c r="I57" s="12"/>
      <c r="J57" s="185" t="s">
        <v>511</v>
      </c>
      <c r="K57" s="214">
        <f>MAX(0,J58)</f>
        <v>0</v>
      </c>
      <c r="L57" s="12"/>
      <c r="M57" s="133">
        <f>'Dateneingabe Mobilitäten'!N53</f>
        <v>0</v>
      </c>
      <c r="N57" s="12"/>
      <c r="O57" s="133">
        <f>'Dateneingabe Mobilitäten'!P53</f>
        <v>0</v>
      </c>
      <c r="P57" s="12"/>
      <c r="Q57" s="133">
        <f>'Dateneingabe Mobilitäten'!R53</f>
        <v>0</v>
      </c>
      <c r="R57" s="12"/>
      <c r="S57" s="133">
        <f>'Dateneingabe Mobilitäten'!T53</f>
        <v>0</v>
      </c>
      <c r="T57" s="133">
        <f>'Dateneingabe Mobilitäten'!U53</f>
        <v>0</v>
      </c>
      <c r="U57" s="133">
        <f>'Dateneingabe Mobilitäten'!V53</f>
        <v>0</v>
      </c>
      <c r="V57" s="12"/>
      <c r="W57" s="186">
        <f>M57+O57+Q57+S57+T57+U57</f>
        <v>0</v>
      </c>
      <c r="X57" s="12"/>
      <c r="Y57" s="186"/>
      <c r="Z57" s="111"/>
      <c r="AA57" s="202"/>
      <c r="AB57" s="678"/>
      <c r="AC57" s="678"/>
      <c r="AD57" s="166"/>
    </row>
    <row r="58" spans="2:30" ht="13.5" thickBot="1" x14ac:dyDescent="0.25">
      <c r="B58" s="164"/>
      <c r="C58" s="601"/>
      <c r="D58" s="451"/>
      <c r="E58" s="169" t="s">
        <v>114</v>
      </c>
      <c r="F58" s="206">
        <f>'Dateneingabe Mobilitäten'!G54</f>
        <v>0</v>
      </c>
      <c r="G58" s="206">
        <f>'Dateneingabe Mobilitäten'!H54</f>
        <v>0</v>
      </c>
      <c r="H58" s="207">
        <f>F58+G58</f>
        <v>0</v>
      </c>
      <c r="I58" s="215"/>
      <c r="J58" s="216">
        <f>X58-H58</f>
        <v>0</v>
      </c>
      <c r="K58" s="196"/>
      <c r="L58" s="197"/>
      <c r="M58" s="197">
        <f>M57*-1</f>
        <v>0</v>
      </c>
      <c r="N58" s="197"/>
      <c r="O58" s="197">
        <f>O57*-1</f>
        <v>0</v>
      </c>
      <c r="P58" s="197"/>
      <c r="Q58" s="197">
        <f>Q57*-1</f>
        <v>0</v>
      </c>
      <c r="R58" s="197"/>
      <c r="S58" s="197">
        <f>S57*-1</f>
        <v>0</v>
      </c>
      <c r="T58" s="197">
        <f t="shared" ref="T58:U58" si="14">T57*-1</f>
        <v>0</v>
      </c>
      <c r="U58" s="197">
        <f t="shared" si="14"/>
        <v>0</v>
      </c>
      <c r="V58" s="197"/>
      <c r="W58" s="186">
        <f>M58+O58+Q58+S58+T58+U58</f>
        <v>0</v>
      </c>
      <c r="X58" s="197">
        <f>'Dateneingabe Mobilitäten'!F54</f>
        <v>0</v>
      </c>
      <c r="Y58" s="197">
        <f>L58+M58+N58+O58+P58+Q58+R58+S58+T58+U58</f>
        <v>0</v>
      </c>
      <c r="Z58" s="217">
        <f>X58+L58+M58+N58+O58+P58+Q58+R58+S58+V58</f>
        <v>0</v>
      </c>
      <c r="AA58" s="170">
        <f>Z58-H58</f>
        <v>0</v>
      </c>
      <c r="AB58" s="679"/>
      <c r="AC58" s="679"/>
      <c r="AD58" s="166"/>
    </row>
    <row r="59" spans="2:30" ht="13.5" thickBot="1" x14ac:dyDescent="0.25">
      <c r="B59" s="164"/>
      <c r="C59" s="53"/>
      <c r="D59" s="53"/>
      <c r="E59" s="167"/>
      <c r="F59" s="12"/>
      <c r="G59" s="12"/>
      <c r="H59" s="12"/>
      <c r="I59" s="12"/>
      <c r="J59" s="12"/>
      <c r="K59" s="12"/>
      <c r="L59" s="12"/>
      <c r="M59" s="12"/>
      <c r="N59" s="12"/>
      <c r="O59" s="12"/>
      <c r="P59" s="12"/>
      <c r="Q59" s="12"/>
      <c r="R59" s="12"/>
      <c r="S59" s="12"/>
      <c r="T59" s="12"/>
      <c r="U59" s="12"/>
      <c r="V59" s="12"/>
      <c r="W59" s="12"/>
      <c r="X59" s="12"/>
      <c r="Y59" s="12"/>
      <c r="Z59" s="12"/>
      <c r="AA59" s="53"/>
      <c r="AB59" s="53"/>
      <c r="AC59" s="225"/>
      <c r="AD59" s="166"/>
    </row>
    <row r="60" spans="2:30" x14ac:dyDescent="0.2">
      <c r="B60" s="164"/>
      <c r="C60" s="599" t="s">
        <v>913</v>
      </c>
      <c r="D60" s="100"/>
      <c r="E60" s="165" t="s">
        <v>350</v>
      </c>
      <c r="F60" s="132">
        <f>'Dateneingabe Mobilitäten'!G56</f>
        <v>0</v>
      </c>
      <c r="G60" s="132">
        <f>'Dateneingabe Mobilitäten'!H56</f>
        <v>0</v>
      </c>
      <c r="H60" s="211">
        <f>F60+G60</f>
        <v>0</v>
      </c>
      <c r="I60" s="211"/>
      <c r="J60" s="211"/>
      <c r="K60" s="218" t="s">
        <v>512</v>
      </c>
      <c r="L60" s="218"/>
      <c r="M60" s="218" t="s">
        <v>347</v>
      </c>
      <c r="N60" s="218"/>
      <c r="O60" s="218" t="s">
        <v>367</v>
      </c>
      <c r="P60" s="218"/>
      <c r="Q60" s="218" t="s">
        <v>345</v>
      </c>
      <c r="R60" s="218"/>
      <c r="S60" s="218" t="s">
        <v>346</v>
      </c>
      <c r="T60" s="98" t="s">
        <v>669</v>
      </c>
      <c r="U60" s="98" t="s">
        <v>935</v>
      </c>
      <c r="V60" s="221"/>
      <c r="W60" s="221"/>
      <c r="X60" s="211">
        <f>'Dateneingabe Mobilitäten'!F56</f>
        <v>0</v>
      </c>
      <c r="Y60" s="221"/>
      <c r="Z60" s="220"/>
      <c r="AA60" s="201"/>
      <c r="AB60" s="677">
        <f>'Dateneingabe Mobilitäten'!AA56</f>
        <v>0</v>
      </c>
      <c r="AC60" s="677">
        <f>'Dateneingabe Mobilitäten'!AB56</f>
        <v>0</v>
      </c>
      <c r="AD60" s="166"/>
    </row>
    <row r="61" spans="2:30" x14ac:dyDescent="0.2">
      <c r="B61" s="164"/>
      <c r="C61" s="600"/>
      <c r="D61" s="53"/>
      <c r="E61" s="167"/>
      <c r="F61" s="205"/>
      <c r="G61" s="205"/>
      <c r="H61" s="12"/>
      <c r="I61" s="12"/>
      <c r="J61" s="185" t="s">
        <v>511</v>
      </c>
      <c r="K61" s="214">
        <f>MAX(0,J62)</f>
        <v>0</v>
      </c>
      <c r="L61" s="12"/>
      <c r="M61" s="133">
        <f>'Dateneingabe Mobilitäten'!N57</f>
        <v>0</v>
      </c>
      <c r="N61" s="12"/>
      <c r="O61" s="133">
        <f>'Dateneingabe Mobilitäten'!P57</f>
        <v>0</v>
      </c>
      <c r="P61" s="12"/>
      <c r="Q61" s="133">
        <f>'Dateneingabe Mobilitäten'!R57</f>
        <v>0</v>
      </c>
      <c r="R61" s="12"/>
      <c r="S61" s="133">
        <f>'Dateneingabe Mobilitäten'!T57</f>
        <v>0</v>
      </c>
      <c r="T61" s="133">
        <f>'Dateneingabe Mobilitäten'!U57</f>
        <v>0</v>
      </c>
      <c r="U61" s="133">
        <f>'Dateneingabe Mobilitäten'!V57</f>
        <v>0</v>
      </c>
      <c r="V61" s="12"/>
      <c r="W61" s="186">
        <f>M61+O61+Q61+S61+T61+U61</f>
        <v>0</v>
      </c>
      <c r="X61" s="12"/>
      <c r="Y61" s="186"/>
      <c r="Z61" s="111"/>
      <c r="AA61" s="202"/>
      <c r="AB61" s="678"/>
      <c r="AC61" s="678"/>
      <c r="AD61" s="166"/>
    </row>
    <row r="62" spans="2:30" ht="13.5" thickBot="1" x14ac:dyDescent="0.25">
      <c r="B62" s="164"/>
      <c r="C62" s="601"/>
      <c r="D62" s="451"/>
      <c r="E62" s="169" t="s">
        <v>114</v>
      </c>
      <c r="F62" s="206">
        <f>'Dateneingabe Mobilitäten'!G58</f>
        <v>0</v>
      </c>
      <c r="G62" s="206">
        <f>'Dateneingabe Mobilitäten'!H58</f>
        <v>0</v>
      </c>
      <c r="H62" s="207">
        <f>F62+G62</f>
        <v>0</v>
      </c>
      <c r="I62" s="215"/>
      <c r="J62" s="216">
        <f>X62-H62</f>
        <v>0</v>
      </c>
      <c r="K62" s="196"/>
      <c r="L62" s="197"/>
      <c r="M62" s="197">
        <f>M61*-1</f>
        <v>0</v>
      </c>
      <c r="N62" s="197"/>
      <c r="O62" s="197">
        <f>O61*-1</f>
        <v>0</v>
      </c>
      <c r="P62" s="197"/>
      <c r="Q62" s="197">
        <f>Q61*-1</f>
        <v>0</v>
      </c>
      <c r="R62" s="197"/>
      <c r="S62" s="197">
        <f>S61*-1</f>
        <v>0</v>
      </c>
      <c r="T62" s="197">
        <f t="shared" ref="T62:U62" si="15">T61*-1</f>
        <v>0</v>
      </c>
      <c r="U62" s="197">
        <f t="shared" si="15"/>
        <v>0</v>
      </c>
      <c r="V62" s="197"/>
      <c r="W62" s="186">
        <f>M62+O62+Q62+S62+T62+U62</f>
        <v>0</v>
      </c>
      <c r="X62" s="197">
        <f>'Dateneingabe Mobilitäten'!F58</f>
        <v>0</v>
      </c>
      <c r="Y62" s="197">
        <f>L62+M62+N62+O62+P62+Q62+R62+S62+T62+U62</f>
        <v>0</v>
      </c>
      <c r="Z62" s="217">
        <f>X62+L62+M62+N62+O62+P62+Q62+R62+S62+V62</f>
        <v>0</v>
      </c>
      <c r="AA62" s="170">
        <f>Z62-H62</f>
        <v>0</v>
      </c>
      <c r="AB62" s="679"/>
      <c r="AC62" s="679"/>
      <c r="AD62" s="166"/>
    </row>
    <row r="63" spans="2:30" ht="13.5" thickBot="1" x14ac:dyDescent="0.25">
      <c r="B63" s="164"/>
      <c r="C63" s="53"/>
      <c r="D63" s="53"/>
      <c r="E63" s="167"/>
      <c r="F63" s="12"/>
      <c r="G63" s="12"/>
      <c r="H63" s="12"/>
      <c r="I63" s="12"/>
      <c r="J63" s="12"/>
      <c r="K63" s="12"/>
      <c r="L63" s="12"/>
      <c r="M63" s="12"/>
      <c r="N63" s="12"/>
      <c r="O63" s="12"/>
      <c r="P63" s="12"/>
      <c r="Q63" s="12"/>
      <c r="R63" s="12"/>
      <c r="S63" s="12"/>
      <c r="T63" s="12"/>
      <c r="U63" s="12"/>
      <c r="V63" s="12"/>
      <c r="W63" s="12"/>
      <c r="X63" s="12"/>
      <c r="Y63" s="12"/>
      <c r="Z63" s="12"/>
      <c r="AA63" s="53"/>
      <c r="AB63" s="53"/>
      <c r="AC63" s="225"/>
      <c r="AD63" s="166"/>
    </row>
    <row r="64" spans="2:30" x14ac:dyDescent="0.2">
      <c r="B64" s="164"/>
      <c r="C64" s="599" t="s">
        <v>914</v>
      </c>
      <c r="D64" s="100"/>
      <c r="E64" s="165" t="s">
        <v>350</v>
      </c>
      <c r="F64" s="132">
        <f>'Dateneingabe Mobilitäten'!G60</f>
        <v>0</v>
      </c>
      <c r="G64" s="132">
        <f>'Dateneingabe Mobilitäten'!H60</f>
        <v>0</v>
      </c>
      <c r="H64" s="211">
        <f>F64+G64</f>
        <v>0</v>
      </c>
      <c r="I64" s="211"/>
      <c r="J64" s="211"/>
      <c r="K64" s="218" t="s">
        <v>512</v>
      </c>
      <c r="L64" s="218"/>
      <c r="M64" s="218" t="s">
        <v>347</v>
      </c>
      <c r="N64" s="218"/>
      <c r="O64" s="218" t="s">
        <v>367</v>
      </c>
      <c r="P64" s="218"/>
      <c r="Q64" s="218" t="s">
        <v>345</v>
      </c>
      <c r="R64" s="218"/>
      <c r="S64" s="218" t="s">
        <v>346</v>
      </c>
      <c r="T64" s="98" t="s">
        <v>669</v>
      </c>
      <c r="U64" s="98" t="s">
        <v>935</v>
      </c>
      <c r="V64" s="221"/>
      <c r="W64" s="221"/>
      <c r="X64" s="211">
        <f>'Dateneingabe Mobilitäten'!F60</f>
        <v>0</v>
      </c>
      <c r="Y64" s="221"/>
      <c r="Z64" s="220"/>
      <c r="AA64" s="201"/>
      <c r="AB64" s="677">
        <f>'Dateneingabe Mobilitäten'!AA60</f>
        <v>0</v>
      </c>
      <c r="AC64" s="677">
        <f>'Dateneingabe Mobilitäten'!AB60</f>
        <v>0</v>
      </c>
      <c r="AD64" s="166"/>
    </row>
    <row r="65" spans="2:30" x14ac:dyDescent="0.2">
      <c r="B65" s="164"/>
      <c r="C65" s="600"/>
      <c r="D65" s="53"/>
      <c r="E65" s="167"/>
      <c r="F65" s="205"/>
      <c r="G65" s="205"/>
      <c r="H65" s="12"/>
      <c r="I65" s="12"/>
      <c r="J65" s="185" t="s">
        <v>511</v>
      </c>
      <c r="K65" s="214">
        <f>MAX(0,J66)</f>
        <v>0</v>
      </c>
      <c r="L65" s="12"/>
      <c r="M65" s="133">
        <f>'Dateneingabe Mobilitäten'!N61</f>
        <v>0</v>
      </c>
      <c r="N65" s="12"/>
      <c r="O65" s="133">
        <f>'Dateneingabe Mobilitäten'!P61</f>
        <v>0</v>
      </c>
      <c r="P65" s="12"/>
      <c r="Q65" s="133">
        <f>'Dateneingabe Mobilitäten'!R61</f>
        <v>0</v>
      </c>
      <c r="R65" s="12"/>
      <c r="S65" s="133">
        <f>'Dateneingabe Mobilitäten'!T61</f>
        <v>0</v>
      </c>
      <c r="T65" s="133">
        <f>'Dateneingabe Mobilitäten'!U61</f>
        <v>0</v>
      </c>
      <c r="U65" s="133">
        <f>'Dateneingabe Mobilitäten'!V61</f>
        <v>0</v>
      </c>
      <c r="V65" s="12"/>
      <c r="W65" s="186">
        <f>M65+O65+Q65+S65+T65+U65</f>
        <v>0</v>
      </c>
      <c r="X65" s="12"/>
      <c r="Y65" s="186"/>
      <c r="Z65" s="111"/>
      <c r="AA65" s="202"/>
      <c r="AB65" s="678"/>
      <c r="AC65" s="678"/>
      <c r="AD65" s="166"/>
    </row>
    <row r="66" spans="2:30" ht="13.5" thickBot="1" x14ac:dyDescent="0.25">
      <c r="B66" s="164"/>
      <c r="C66" s="601"/>
      <c r="D66" s="451"/>
      <c r="E66" s="169" t="s">
        <v>114</v>
      </c>
      <c r="F66" s="206">
        <f>'Dateneingabe Mobilitäten'!G62</f>
        <v>0</v>
      </c>
      <c r="G66" s="206">
        <f>'Dateneingabe Mobilitäten'!H62</f>
        <v>0</v>
      </c>
      <c r="H66" s="207">
        <f>F66+G66</f>
        <v>0</v>
      </c>
      <c r="I66" s="215"/>
      <c r="J66" s="216">
        <f>X66-H66</f>
        <v>0</v>
      </c>
      <c r="K66" s="196"/>
      <c r="L66" s="197"/>
      <c r="M66" s="197">
        <f>M65*-1</f>
        <v>0</v>
      </c>
      <c r="N66" s="197"/>
      <c r="O66" s="197">
        <f>O65*-1</f>
        <v>0</v>
      </c>
      <c r="P66" s="197"/>
      <c r="Q66" s="197">
        <f>Q65*-1</f>
        <v>0</v>
      </c>
      <c r="R66" s="197"/>
      <c r="S66" s="197">
        <f>S65*-1</f>
        <v>0</v>
      </c>
      <c r="T66" s="197">
        <f t="shared" ref="T66:U66" si="16">T65*-1</f>
        <v>0</v>
      </c>
      <c r="U66" s="197">
        <f t="shared" si="16"/>
        <v>0</v>
      </c>
      <c r="V66" s="197"/>
      <c r="W66" s="186">
        <f>M66+O66+Q66+S66+T66+U66</f>
        <v>0</v>
      </c>
      <c r="X66" s="197">
        <f>'Dateneingabe Mobilitäten'!F62</f>
        <v>0</v>
      </c>
      <c r="Y66" s="197">
        <f>L66+M66+N66+O66+P66+Q66+R66+S66+T66+U66</f>
        <v>0</v>
      </c>
      <c r="Z66" s="217">
        <f>X66+L66+M66+N66+O66+P66+Q66+R66+S66+V66</f>
        <v>0</v>
      </c>
      <c r="AA66" s="170">
        <f>Z66-H66</f>
        <v>0</v>
      </c>
      <c r="AB66" s="679"/>
      <c r="AC66" s="679"/>
      <c r="AD66" s="166"/>
    </row>
    <row r="67" spans="2:30" ht="13.5" thickBot="1" x14ac:dyDescent="0.25">
      <c r="B67" s="164"/>
      <c r="C67" s="53"/>
      <c r="D67" s="53"/>
      <c r="E67" s="167"/>
      <c r="F67" s="12"/>
      <c r="G67" s="12"/>
      <c r="H67" s="12"/>
      <c r="I67" s="12"/>
      <c r="J67" s="12"/>
      <c r="K67" s="12"/>
      <c r="L67" s="12"/>
      <c r="M67" s="12"/>
      <c r="N67" s="12"/>
      <c r="O67" s="12"/>
      <c r="P67" s="12"/>
      <c r="Q67" s="12"/>
      <c r="R67" s="12"/>
      <c r="S67" s="12"/>
      <c r="T67" s="12"/>
      <c r="U67" s="12"/>
      <c r="V67" s="12"/>
      <c r="W67" s="12"/>
      <c r="X67" s="12"/>
      <c r="Y67" s="12"/>
      <c r="Z67" s="12"/>
      <c r="AA67" s="53"/>
      <c r="AB67" s="53"/>
      <c r="AC67" s="225"/>
      <c r="AD67" s="166"/>
    </row>
    <row r="68" spans="2:30" x14ac:dyDescent="0.2">
      <c r="B68" s="164"/>
      <c r="C68" s="599" t="s">
        <v>915</v>
      </c>
      <c r="D68" s="100"/>
      <c r="E68" s="165" t="s">
        <v>350</v>
      </c>
      <c r="F68" s="132">
        <f>'Dateneingabe Mobilitäten'!G64</f>
        <v>0</v>
      </c>
      <c r="G68" s="132">
        <f>'Dateneingabe Mobilitäten'!H64</f>
        <v>0</v>
      </c>
      <c r="H68" s="211">
        <f>F68+G68</f>
        <v>0</v>
      </c>
      <c r="I68" s="211"/>
      <c r="J68" s="211"/>
      <c r="K68" s="218" t="s">
        <v>512</v>
      </c>
      <c r="L68" s="218"/>
      <c r="M68" s="218" t="s">
        <v>347</v>
      </c>
      <c r="N68" s="218"/>
      <c r="O68" s="218" t="s">
        <v>367</v>
      </c>
      <c r="P68" s="218"/>
      <c r="Q68" s="218" t="s">
        <v>345</v>
      </c>
      <c r="R68" s="218"/>
      <c r="S68" s="218" t="s">
        <v>346</v>
      </c>
      <c r="T68" s="98" t="s">
        <v>669</v>
      </c>
      <c r="U68" s="98" t="s">
        <v>935</v>
      </c>
      <c r="V68" s="221"/>
      <c r="W68" s="221"/>
      <c r="X68" s="211">
        <f>'Dateneingabe Mobilitäten'!F64</f>
        <v>0</v>
      </c>
      <c r="Y68" s="221"/>
      <c r="Z68" s="220"/>
      <c r="AA68" s="201"/>
      <c r="AB68" s="677">
        <f>'Dateneingabe Mobilitäten'!AA64</f>
        <v>0</v>
      </c>
      <c r="AC68" s="677">
        <v>0</v>
      </c>
      <c r="AD68" s="166"/>
    </row>
    <row r="69" spans="2:30" x14ac:dyDescent="0.2">
      <c r="B69" s="164"/>
      <c r="C69" s="600"/>
      <c r="D69" s="53"/>
      <c r="E69" s="167"/>
      <c r="F69" s="205"/>
      <c r="G69" s="205"/>
      <c r="H69" s="12"/>
      <c r="I69" s="12"/>
      <c r="J69" s="185" t="s">
        <v>511</v>
      </c>
      <c r="K69" s="214">
        <f>MAX(0,J70)</f>
        <v>0</v>
      </c>
      <c r="L69" s="12"/>
      <c r="M69" s="133">
        <f>'Dateneingabe Mobilitäten'!N65</f>
        <v>0</v>
      </c>
      <c r="N69" s="12"/>
      <c r="O69" s="133">
        <f>'Dateneingabe Mobilitäten'!P65</f>
        <v>0</v>
      </c>
      <c r="P69" s="12"/>
      <c r="Q69" s="133">
        <f>'Dateneingabe Mobilitäten'!R65</f>
        <v>0</v>
      </c>
      <c r="R69" s="12"/>
      <c r="S69" s="133">
        <f>'Dateneingabe Mobilitäten'!T65</f>
        <v>0</v>
      </c>
      <c r="T69" s="133">
        <f>'Dateneingabe Mobilitäten'!U65</f>
        <v>0</v>
      </c>
      <c r="U69" s="133">
        <f>'Dateneingabe Mobilitäten'!V65</f>
        <v>0</v>
      </c>
      <c r="V69" s="12"/>
      <c r="W69" s="186">
        <f>M69+O69+Q69+S69+T69+U69</f>
        <v>0</v>
      </c>
      <c r="X69" s="12"/>
      <c r="Y69" s="186"/>
      <c r="Z69" s="111"/>
      <c r="AA69" s="202"/>
      <c r="AB69" s="678"/>
      <c r="AC69" s="678"/>
      <c r="AD69" s="166"/>
    </row>
    <row r="70" spans="2:30" ht="13.5" thickBot="1" x14ac:dyDescent="0.25">
      <c r="B70" s="164"/>
      <c r="C70" s="601"/>
      <c r="D70" s="451"/>
      <c r="E70" s="169" t="s">
        <v>114</v>
      </c>
      <c r="F70" s="206">
        <f>'Dateneingabe Mobilitäten'!G66</f>
        <v>0</v>
      </c>
      <c r="G70" s="206">
        <f>'Dateneingabe Mobilitäten'!H66</f>
        <v>0</v>
      </c>
      <c r="H70" s="207">
        <f>F70+G70</f>
        <v>0</v>
      </c>
      <c r="I70" s="215"/>
      <c r="J70" s="216">
        <f>X70-H70</f>
        <v>0</v>
      </c>
      <c r="K70" s="196"/>
      <c r="L70" s="197"/>
      <c r="M70" s="197">
        <f>M69*-1</f>
        <v>0</v>
      </c>
      <c r="N70" s="197"/>
      <c r="O70" s="197">
        <f>O69*-1</f>
        <v>0</v>
      </c>
      <c r="P70" s="197"/>
      <c r="Q70" s="197">
        <f>Q69*-1</f>
        <v>0</v>
      </c>
      <c r="R70" s="197"/>
      <c r="S70" s="197">
        <f>S69*-1</f>
        <v>0</v>
      </c>
      <c r="T70" s="197">
        <f t="shared" ref="T70:U70" si="17">T69*-1</f>
        <v>0</v>
      </c>
      <c r="U70" s="197">
        <f t="shared" si="17"/>
        <v>0</v>
      </c>
      <c r="V70" s="197"/>
      <c r="W70" s="186">
        <f>M70+O70+Q70+S70+T70+U70</f>
        <v>0</v>
      </c>
      <c r="X70" s="197">
        <f>'Dateneingabe Mobilitäten'!F66</f>
        <v>0</v>
      </c>
      <c r="Y70" s="197">
        <f>L70+M70+N70+O70+P70+Q70+R70+S70+T70+U70</f>
        <v>0</v>
      </c>
      <c r="Z70" s="217">
        <f>X70+L70+M70+N70+O70+P70+Q70+R70+S70+V70</f>
        <v>0</v>
      </c>
      <c r="AA70" s="170">
        <f>Z70-H70</f>
        <v>0</v>
      </c>
      <c r="AB70" s="679"/>
      <c r="AC70" s="679"/>
      <c r="AD70" s="166"/>
    </row>
    <row r="71" spans="2:30" ht="13.5" thickBot="1" x14ac:dyDescent="0.25">
      <c r="B71" s="164"/>
      <c r="C71" s="53"/>
      <c r="D71" s="53"/>
      <c r="E71" s="167"/>
      <c r="F71" s="12"/>
      <c r="G71" s="12"/>
      <c r="H71" s="12"/>
      <c r="I71" s="12"/>
      <c r="J71" s="12"/>
      <c r="K71" s="12"/>
      <c r="L71" s="12"/>
      <c r="M71" s="12"/>
      <c r="N71" s="12"/>
      <c r="O71" s="12"/>
      <c r="P71" s="12"/>
      <c r="Q71" s="12"/>
      <c r="R71" s="12"/>
      <c r="S71" s="12"/>
      <c r="T71" s="12"/>
      <c r="U71" s="12"/>
      <c r="V71" s="12"/>
      <c r="W71" s="12"/>
      <c r="X71" s="12"/>
      <c r="Y71" s="12"/>
      <c r="Z71" s="12"/>
      <c r="AA71" s="53"/>
      <c r="AB71" s="53"/>
      <c r="AC71" s="225"/>
      <c r="AD71" s="166"/>
    </row>
    <row r="72" spans="2:30" x14ac:dyDescent="0.2">
      <c r="B72" s="164"/>
      <c r="C72" s="599" t="s">
        <v>916</v>
      </c>
      <c r="D72" s="100"/>
      <c r="E72" s="165" t="s">
        <v>350</v>
      </c>
      <c r="F72" s="132">
        <f>'Dateneingabe Mobilitäten'!G68</f>
        <v>0</v>
      </c>
      <c r="G72" s="132">
        <f>'Dateneingabe Mobilitäten'!H68</f>
        <v>0</v>
      </c>
      <c r="H72" s="211">
        <f>F72+G72</f>
        <v>0</v>
      </c>
      <c r="I72" s="211"/>
      <c r="J72" s="211"/>
      <c r="K72" s="218" t="s">
        <v>512</v>
      </c>
      <c r="L72" s="218"/>
      <c r="M72" s="218" t="s">
        <v>347</v>
      </c>
      <c r="N72" s="218"/>
      <c r="O72" s="218" t="s">
        <v>367</v>
      </c>
      <c r="P72" s="218"/>
      <c r="Q72" s="218" t="s">
        <v>345</v>
      </c>
      <c r="R72" s="218"/>
      <c r="S72" s="218" t="s">
        <v>346</v>
      </c>
      <c r="T72" s="98" t="s">
        <v>669</v>
      </c>
      <c r="U72" s="98" t="s">
        <v>935</v>
      </c>
      <c r="V72" s="221"/>
      <c r="W72" s="221"/>
      <c r="X72" s="211">
        <f>'Dateneingabe Mobilitäten'!F68</f>
        <v>0</v>
      </c>
      <c r="Y72" s="221"/>
      <c r="Z72" s="220"/>
      <c r="AA72" s="201"/>
      <c r="AB72" s="677">
        <f>'Dateneingabe Mobilitäten'!AA68</f>
        <v>0</v>
      </c>
      <c r="AC72" s="677">
        <f>'Dateneingabe Mobilitäten'!AB68</f>
        <v>0</v>
      </c>
      <c r="AD72" s="166"/>
    </row>
    <row r="73" spans="2:30" x14ac:dyDescent="0.2">
      <c r="B73" s="164"/>
      <c r="C73" s="600"/>
      <c r="D73" s="53"/>
      <c r="E73" s="167"/>
      <c r="F73" s="205"/>
      <c r="G73" s="205"/>
      <c r="H73" s="12"/>
      <c r="I73" s="12"/>
      <c r="J73" s="185" t="s">
        <v>511</v>
      </c>
      <c r="K73" s="214">
        <f>MAX(0,J74)</f>
        <v>0</v>
      </c>
      <c r="L73" s="12"/>
      <c r="M73" s="133">
        <f>'Dateneingabe Mobilitäten'!N69</f>
        <v>0</v>
      </c>
      <c r="N73" s="12"/>
      <c r="O73" s="133">
        <f>'Dateneingabe Mobilitäten'!P69</f>
        <v>0</v>
      </c>
      <c r="P73" s="12"/>
      <c r="Q73" s="133">
        <f>'Dateneingabe Mobilitäten'!R69</f>
        <v>0</v>
      </c>
      <c r="R73" s="12"/>
      <c r="S73" s="133">
        <f>'Dateneingabe Mobilitäten'!T69</f>
        <v>0</v>
      </c>
      <c r="T73" s="133">
        <f>'Dateneingabe Mobilitäten'!U69</f>
        <v>0</v>
      </c>
      <c r="U73" s="133">
        <f>'Dateneingabe Mobilitäten'!V69</f>
        <v>0</v>
      </c>
      <c r="V73" s="12"/>
      <c r="W73" s="186">
        <f>M73+O73+Q73+S73+T73+U73</f>
        <v>0</v>
      </c>
      <c r="X73" s="12"/>
      <c r="Y73" s="186"/>
      <c r="Z73" s="111"/>
      <c r="AA73" s="202"/>
      <c r="AB73" s="678"/>
      <c r="AC73" s="678"/>
      <c r="AD73" s="166"/>
    </row>
    <row r="74" spans="2:30" ht="13.5" thickBot="1" x14ac:dyDescent="0.25">
      <c r="B74" s="164"/>
      <c r="C74" s="601"/>
      <c r="D74" s="451"/>
      <c r="E74" s="169" t="s">
        <v>114</v>
      </c>
      <c r="F74" s="206">
        <f>'Dateneingabe Mobilitäten'!G70</f>
        <v>0</v>
      </c>
      <c r="G74" s="206">
        <f>'Dateneingabe Mobilitäten'!H70</f>
        <v>0</v>
      </c>
      <c r="H74" s="207">
        <f>F74+G74</f>
        <v>0</v>
      </c>
      <c r="I74" s="215"/>
      <c r="J74" s="216">
        <f>X74-H74</f>
        <v>0</v>
      </c>
      <c r="K74" s="196"/>
      <c r="L74" s="197"/>
      <c r="M74" s="197">
        <f>M73*-1</f>
        <v>0</v>
      </c>
      <c r="N74" s="197"/>
      <c r="O74" s="197">
        <f>O73*-1</f>
        <v>0</v>
      </c>
      <c r="P74" s="197"/>
      <c r="Q74" s="197">
        <f>Q73*-1</f>
        <v>0</v>
      </c>
      <c r="R74" s="197"/>
      <c r="S74" s="197">
        <f>S73*-1</f>
        <v>0</v>
      </c>
      <c r="T74" s="197">
        <f t="shared" ref="T74:U74" si="18">T73*-1</f>
        <v>0</v>
      </c>
      <c r="U74" s="197">
        <f t="shared" si="18"/>
        <v>0</v>
      </c>
      <c r="V74" s="197"/>
      <c r="W74" s="186">
        <f>M74+O74+Q74+S74+T74+U74</f>
        <v>0</v>
      </c>
      <c r="X74" s="197">
        <f>'Dateneingabe Mobilitäten'!F70</f>
        <v>0</v>
      </c>
      <c r="Y74" s="197">
        <f>L74+M74+N74+O74+P74+Q74+R74+S74+T74+U74</f>
        <v>0</v>
      </c>
      <c r="Z74" s="217">
        <f>X74+L74+M74+N74+O74+P74+Q74+R74+S74+V74</f>
        <v>0</v>
      </c>
      <c r="AA74" s="170">
        <f>Z74-H74</f>
        <v>0</v>
      </c>
      <c r="AB74" s="679"/>
      <c r="AC74" s="679"/>
      <c r="AD74" s="166"/>
    </row>
    <row r="75" spans="2:30" ht="13.5" thickBot="1" x14ac:dyDescent="0.25">
      <c r="B75" s="164"/>
      <c r="C75" s="452"/>
      <c r="D75" s="14"/>
      <c r="E75" s="167"/>
      <c r="F75" s="186"/>
      <c r="G75" s="186"/>
      <c r="H75" s="255"/>
      <c r="I75" s="453"/>
      <c r="J75" s="214"/>
      <c r="K75" s="12"/>
      <c r="L75" s="186"/>
      <c r="M75" s="186"/>
      <c r="N75" s="186"/>
      <c r="O75" s="186"/>
      <c r="P75" s="186"/>
      <c r="Q75" s="186"/>
      <c r="R75" s="186"/>
      <c r="S75" s="186"/>
      <c r="T75" s="186"/>
      <c r="U75" s="186"/>
      <c r="V75" s="186"/>
      <c r="W75" s="186"/>
      <c r="X75" s="186"/>
      <c r="Y75" s="186"/>
      <c r="Z75" s="255"/>
      <c r="AA75" s="454"/>
      <c r="AB75" s="53"/>
      <c r="AC75" s="455"/>
      <c r="AD75" s="166"/>
    </row>
    <row r="76" spans="2:30" x14ac:dyDescent="0.2">
      <c r="B76" s="164"/>
      <c r="C76" s="599" t="s">
        <v>917</v>
      </c>
      <c r="D76" s="100"/>
      <c r="E76" s="165" t="s">
        <v>350</v>
      </c>
      <c r="F76" s="132">
        <f>'Dateneingabe Mobilitäten'!G72</f>
        <v>0</v>
      </c>
      <c r="G76" s="132">
        <f>'Dateneingabe Mobilitäten'!H72</f>
        <v>0</v>
      </c>
      <c r="H76" s="211">
        <f>F76+G76</f>
        <v>0</v>
      </c>
      <c r="I76" s="211"/>
      <c r="J76" s="211"/>
      <c r="K76" s="218" t="s">
        <v>512</v>
      </c>
      <c r="L76" s="218"/>
      <c r="M76" s="218" t="s">
        <v>347</v>
      </c>
      <c r="N76" s="218"/>
      <c r="O76" s="218" t="s">
        <v>367</v>
      </c>
      <c r="P76" s="218"/>
      <c r="Q76" s="218" t="s">
        <v>345</v>
      </c>
      <c r="R76" s="218"/>
      <c r="S76" s="218" t="s">
        <v>346</v>
      </c>
      <c r="T76" s="98" t="s">
        <v>669</v>
      </c>
      <c r="U76" s="98" t="s">
        <v>935</v>
      </c>
      <c r="V76" s="221"/>
      <c r="W76" s="221"/>
      <c r="X76" s="211">
        <f>'Dateneingabe Mobilitäten'!F72</f>
        <v>0</v>
      </c>
      <c r="Y76" s="221"/>
      <c r="Z76" s="220"/>
      <c r="AA76" s="201"/>
      <c r="AB76" s="677">
        <f>'Dateneingabe Mobilitäten'!AA72</f>
        <v>0</v>
      </c>
      <c r="AC76" s="677">
        <f>'Dateneingabe Mobilitäten'!AB72</f>
        <v>0</v>
      </c>
      <c r="AD76" s="166"/>
    </row>
    <row r="77" spans="2:30" x14ac:dyDescent="0.2">
      <c r="B77" s="164"/>
      <c r="C77" s="600"/>
      <c r="D77" s="53"/>
      <c r="E77" s="167"/>
      <c r="F77" s="205"/>
      <c r="G77" s="205"/>
      <c r="H77" s="12"/>
      <c r="I77" s="12"/>
      <c r="J77" s="185" t="s">
        <v>511</v>
      </c>
      <c r="K77" s="214">
        <f>MAX(0,J78)</f>
        <v>0</v>
      </c>
      <c r="L77" s="12"/>
      <c r="M77" s="133">
        <f>'Dateneingabe Mobilitäten'!N73</f>
        <v>0</v>
      </c>
      <c r="N77" s="12"/>
      <c r="O77" s="133">
        <f>'Dateneingabe Mobilitäten'!P73</f>
        <v>0</v>
      </c>
      <c r="P77" s="12"/>
      <c r="Q77" s="133">
        <f>'Dateneingabe Mobilitäten'!R73</f>
        <v>0</v>
      </c>
      <c r="R77" s="12"/>
      <c r="S77" s="133">
        <f>'Dateneingabe Mobilitäten'!T73</f>
        <v>0</v>
      </c>
      <c r="T77" s="133">
        <f>'Dateneingabe Mobilitäten'!U73</f>
        <v>0</v>
      </c>
      <c r="U77" s="133">
        <f>'Dateneingabe Mobilitäten'!V73</f>
        <v>0</v>
      </c>
      <c r="V77" s="12"/>
      <c r="W77" s="186">
        <f>M77+O77+Q77+S77+T77+U77</f>
        <v>0</v>
      </c>
      <c r="X77" s="12"/>
      <c r="Y77" s="186"/>
      <c r="Z77" s="111"/>
      <c r="AA77" s="202"/>
      <c r="AB77" s="678"/>
      <c r="AC77" s="678"/>
      <c r="AD77" s="166"/>
    </row>
    <row r="78" spans="2:30" ht="13.5" thickBot="1" x14ac:dyDescent="0.25">
      <c r="B78" s="164"/>
      <c r="C78" s="601"/>
      <c r="D78" s="451"/>
      <c r="E78" s="169" t="s">
        <v>114</v>
      </c>
      <c r="F78" s="206">
        <f>'Dateneingabe Mobilitäten'!G74</f>
        <v>0</v>
      </c>
      <c r="G78" s="206">
        <f>'Dateneingabe Mobilitäten'!H74</f>
        <v>0</v>
      </c>
      <c r="H78" s="207">
        <f>F78+G78</f>
        <v>0</v>
      </c>
      <c r="I78" s="215"/>
      <c r="J78" s="216">
        <f>X78-H78</f>
        <v>0</v>
      </c>
      <c r="K78" s="196"/>
      <c r="L78" s="197"/>
      <c r="M78" s="197">
        <f>M77*-1</f>
        <v>0</v>
      </c>
      <c r="N78" s="197"/>
      <c r="O78" s="197">
        <f>O77*-1</f>
        <v>0</v>
      </c>
      <c r="P78" s="197"/>
      <c r="Q78" s="197">
        <f>Q77*-1</f>
        <v>0</v>
      </c>
      <c r="R78" s="197"/>
      <c r="S78" s="197">
        <f>S77*-1</f>
        <v>0</v>
      </c>
      <c r="T78" s="197">
        <f t="shared" ref="T78:U78" si="19">T77*-1</f>
        <v>0</v>
      </c>
      <c r="U78" s="197">
        <f t="shared" si="19"/>
        <v>0</v>
      </c>
      <c r="V78" s="197"/>
      <c r="W78" s="186">
        <f>M78+O78+Q78+S78+T78+U78</f>
        <v>0</v>
      </c>
      <c r="X78" s="197">
        <f>'Dateneingabe Mobilitäten'!F74</f>
        <v>0</v>
      </c>
      <c r="Y78" s="197">
        <f>L78+M78+N78+O78+P78+Q78+R78+S78+T78+U78</f>
        <v>0</v>
      </c>
      <c r="Z78" s="217">
        <f>X78+U78+M78+N78+O78+P78+Q78+R78+S78+T78</f>
        <v>0</v>
      </c>
      <c r="AA78" s="170">
        <f>Z78-H78</f>
        <v>0</v>
      </c>
      <c r="AB78" s="679"/>
      <c r="AC78" s="679"/>
      <c r="AD78" s="166"/>
    </row>
    <row r="79" spans="2:30" hidden="1" x14ac:dyDescent="0.2">
      <c r="B79" s="164"/>
      <c r="C79" s="452"/>
      <c r="D79" s="14"/>
      <c r="E79" s="167"/>
      <c r="F79" s="186"/>
      <c r="G79" s="186"/>
      <c r="H79" s="255"/>
      <c r="I79" s="453"/>
      <c r="J79" s="214"/>
      <c r="K79" s="12"/>
      <c r="L79" s="186"/>
      <c r="M79" s="186"/>
      <c r="N79" s="186"/>
      <c r="O79" s="186"/>
      <c r="P79" s="186"/>
      <c r="Q79" s="186"/>
      <c r="R79" s="186"/>
      <c r="S79" s="186"/>
      <c r="T79" s="186"/>
      <c r="U79" s="186"/>
      <c r="V79" s="186"/>
      <c r="W79" s="186"/>
      <c r="X79" s="186"/>
      <c r="Y79" s="186"/>
      <c r="Z79" s="255"/>
      <c r="AA79" s="454"/>
      <c r="AB79" s="53"/>
      <c r="AC79" s="455"/>
      <c r="AD79" s="166"/>
    </row>
    <row r="80" spans="2:30" hidden="1" x14ac:dyDescent="0.2">
      <c r="B80" s="164"/>
      <c r="C80" s="452"/>
      <c r="D80" s="14"/>
      <c r="E80" s="167"/>
      <c r="F80" s="186"/>
      <c r="G80" s="186"/>
      <c r="H80" s="255"/>
      <c r="I80" s="453"/>
      <c r="J80" s="214"/>
      <c r="K80" s="12"/>
      <c r="L80" s="186"/>
      <c r="M80" s="186"/>
      <c r="N80" s="186"/>
      <c r="O80" s="186"/>
      <c r="P80" s="186"/>
      <c r="Q80" s="186"/>
      <c r="R80" s="186"/>
      <c r="S80" s="186"/>
      <c r="T80" s="186"/>
      <c r="U80" s="186"/>
      <c r="V80" s="186"/>
      <c r="W80" s="186"/>
      <c r="X80" s="186"/>
      <c r="Y80" s="186"/>
      <c r="Z80" s="255"/>
      <c r="AA80" s="454"/>
      <c r="AB80" s="53"/>
      <c r="AC80" s="455"/>
      <c r="AD80" s="166"/>
    </row>
    <row r="81" spans="2:31" ht="7.5" customHeight="1" thickBot="1" x14ac:dyDescent="0.25">
      <c r="B81" s="173"/>
      <c r="C81" s="174"/>
      <c r="D81" s="174"/>
      <c r="E81" s="175"/>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7"/>
    </row>
    <row r="82" spans="2:31" ht="13.5" thickTop="1" x14ac:dyDescent="0.2"/>
    <row r="83" spans="2:31" ht="46.5" customHeight="1" x14ac:dyDescent="0.2">
      <c r="G83" s="263" t="s">
        <v>514</v>
      </c>
      <c r="H83" s="263" t="s">
        <v>387</v>
      </c>
      <c r="I83" s="264"/>
      <c r="J83" s="264"/>
      <c r="K83" s="264"/>
      <c r="L83" s="264"/>
      <c r="M83" s="264"/>
      <c r="N83" s="264"/>
      <c r="O83" s="264"/>
      <c r="P83" s="264"/>
      <c r="Q83" s="264"/>
      <c r="R83" s="264"/>
      <c r="S83" s="264"/>
      <c r="T83" s="264"/>
      <c r="U83" s="264"/>
      <c r="V83" s="264"/>
      <c r="W83" s="264"/>
      <c r="X83" s="263" t="s">
        <v>515</v>
      </c>
      <c r="Y83" s="263" t="s">
        <v>370</v>
      </c>
      <c r="AA83" s="204"/>
      <c r="AB83" s="324" t="s">
        <v>550</v>
      </c>
      <c r="AC83" s="324" t="s">
        <v>591</v>
      </c>
    </row>
    <row r="84" spans="2:31" x14ac:dyDescent="0.2">
      <c r="C84" s="2" t="s">
        <v>513</v>
      </c>
      <c r="E84" s="203" t="s">
        <v>114</v>
      </c>
      <c r="G84" s="192">
        <f>H13+H18+H28+H33</f>
        <v>0</v>
      </c>
      <c r="H84" s="192">
        <f>X13+X18+X28+X33</f>
        <v>0</v>
      </c>
      <c r="K84" s="192">
        <f>H84+X84</f>
        <v>0</v>
      </c>
      <c r="L84" s="192">
        <f>G84</f>
        <v>0</v>
      </c>
      <c r="M84" s="192">
        <f>L84-K84</f>
        <v>0</v>
      </c>
      <c r="N84" s="192"/>
      <c r="X84" s="192">
        <f>Y13+Y18+Y28+Y33</f>
        <v>0</v>
      </c>
      <c r="Y84" s="192">
        <f>Z13+Z18+Z28+Z33</f>
        <v>0</v>
      </c>
      <c r="Z84" s="192"/>
      <c r="AB84" s="192">
        <f>(AB10+AB15+AB25+AB30)</f>
        <v>0</v>
      </c>
      <c r="AC84" s="192">
        <f>AC10+AC15+AC25+AC30</f>
        <v>0</v>
      </c>
      <c r="AE84" s="192"/>
    </row>
    <row r="85" spans="2:31" x14ac:dyDescent="0.2">
      <c r="C85" s="2" t="s">
        <v>1033</v>
      </c>
      <c r="E85" s="203" t="s">
        <v>114</v>
      </c>
      <c r="G85" s="192">
        <f>H41</f>
        <v>0</v>
      </c>
      <c r="H85" s="192">
        <f>X41</f>
        <v>0</v>
      </c>
      <c r="K85" s="192">
        <f t="shared" ref="K85:K89" si="20">H85+X85</f>
        <v>0</v>
      </c>
      <c r="L85" s="192">
        <f t="shared" ref="L85:L89" si="21">G85</f>
        <v>0</v>
      </c>
      <c r="M85" s="192">
        <f t="shared" ref="M85:M89" si="22">L85-K85</f>
        <v>0</v>
      </c>
      <c r="N85" s="192"/>
      <c r="X85" s="192">
        <f>Y41</f>
        <v>0</v>
      </c>
      <c r="Y85" s="192">
        <f>Z41</f>
        <v>0</v>
      </c>
      <c r="AB85" s="192"/>
      <c r="AC85" s="192">
        <f>AC40</f>
        <v>0</v>
      </c>
    </row>
    <row r="86" spans="2:31" x14ac:dyDescent="0.2">
      <c r="C86" s="2" t="s">
        <v>1034</v>
      </c>
      <c r="E86" s="203" t="s">
        <v>114</v>
      </c>
      <c r="G86" s="192">
        <f>'Dateneingabe Mobilitäten'!J42</f>
        <v>0</v>
      </c>
      <c r="H86" s="192">
        <f>X46+X51</f>
        <v>0</v>
      </c>
      <c r="K86" s="192">
        <f t="shared" si="20"/>
        <v>0</v>
      </c>
      <c r="L86" s="192">
        <f t="shared" si="21"/>
        <v>0</v>
      </c>
      <c r="M86" s="192">
        <f t="shared" si="22"/>
        <v>0</v>
      </c>
      <c r="N86" s="192"/>
      <c r="X86" s="192">
        <f>Y47</f>
        <v>0</v>
      </c>
      <c r="Y86" s="192">
        <f>Z47</f>
        <v>0</v>
      </c>
      <c r="AB86" s="192">
        <f>AB45</f>
        <v>0</v>
      </c>
      <c r="AC86" s="192">
        <f>AC45</f>
        <v>0</v>
      </c>
    </row>
    <row r="87" spans="2:31" x14ac:dyDescent="0.2">
      <c r="C87" s="2" t="s">
        <v>1032</v>
      </c>
      <c r="E87" s="203" t="s">
        <v>114</v>
      </c>
      <c r="G87" s="192">
        <f>H52</f>
        <v>0</v>
      </c>
      <c r="H87" s="192">
        <f>X51</f>
        <v>0</v>
      </c>
      <c r="K87" s="192">
        <f t="shared" si="20"/>
        <v>0</v>
      </c>
      <c r="L87" s="192">
        <f t="shared" si="21"/>
        <v>0</v>
      </c>
      <c r="M87" s="192">
        <f t="shared" si="22"/>
        <v>0</v>
      </c>
      <c r="N87" s="192"/>
      <c r="X87" s="192">
        <f>Y52</f>
        <v>0</v>
      </c>
      <c r="Y87" s="192">
        <f>Z52</f>
        <v>0</v>
      </c>
      <c r="AB87" s="192"/>
      <c r="AC87" s="192">
        <f>AC50</f>
        <v>0</v>
      </c>
    </row>
    <row r="88" spans="2:31" x14ac:dyDescent="0.2">
      <c r="C88" s="2" t="s">
        <v>383</v>
      </c>
      <c r="E88" s="203" t="s">
        <v>114</v>
      </c>
      <c r="G88" s="192">
        <f>H58+H62+H66+H70+H74+H78</f>
        <v>0</v>
      </c>
      <c r="H88" s="192">
        <f>X58+X62+X66+X70+X74+X78</f>
        <v>0</v>
      </c>
      <c r="K88" s="192">
        <f t="shared" si="20"/>
        <v>0</v>
      </c>
      <c r="L88" s="192">
        <f t="shared" si="21"/>
        <v>0</v>
      </c>
      <c r="M88" s="192">
        <f t="shared" si="22"/>
        <v>0</v>
      </c>
      <c r="N88" s="192"/>
      <c r="X88" s="192">
        <f>Y58+Y62+Y66+Y70+Y74</f>
        <v>0</v>
      </c>
      <c r="Y88" s="192">
        <f>Z58+Z62+Z66+Z70+Z74+Z78</f>
        <v>0</v>
      </c>
      <c r="AB88" s="192">
        <f>AB56+AB60+AB64+AB68+AB72+AB76</f>
        <v>0</v>
      </c>
      <c r="AC88" s="192">
        <f>AC56+AC60+AC64+AC68+AC72+AC76</f>
        <v>0</v>
      </c>
    </row>
    <row r="89" spans="2:31" x14ac:dyDescent="0.2">
      <c r="C89" s="2" t="s">
        <v>115</v>
      </c>
      <c r="G89" s="192">
        <f>SUM(G84:G88)</f>
        <v>0</v>
      </c>
      <c r="H89" s="192">
        <f>SUM(H84:H88)</f>
        <v>0</v>
      </c>
      <c r="K89" s="192">
        <f t="shared" si="20"/>
        <v>0</v>
      </c>
      <c r="L89" s="192">
        <f t="shared" si="21"/>
        <v>0</v>
      </c>
      <c r="M89" s="192">
        <f t="shared" si="22"/>
        <v>0</v>
      </c>
      <c r="N89" s="192"/>
      <c r="X89" s="192">
        <f>SUM(X84:X88)</f>
        <v>0</v>
      </c>
      <c r="Y89" s="192">
        <f>SUM(Y84:Y88)</f>
        <v>0</v>
      </c>
      <c r="AA89" s="192">
        <f>AA13+AA18+AA28+AA33+AA48+AA78+AA58+AA62+AA66+AA70+AA74+Z52</f>
        <v>0</v>
      </c>
      <c r="AB89" s="192">
        <f>SUM(AB84:AB88)</f>
        <v>0</v>
      </c>
      <c r="AC89" s="192">
        <f>SUM(AC84:AC88)</f>
        <v>0</v>
      </c>
    </row>
    <row r="90" spans="2:31" x14ac:dyDescent="0.2">
      <c r="AD90" s="192" t="e">
        <f>AA13+AA18+AA28+AA33+AA48+#REF!+AA58+AA62+AA66+AA70+AA74</f>
        <v>#REF!</v>
      </c>
    </row>
    <row r="91" spans="2:31" x14ac:dyDescent="0.2">
      <c r="C91" s="569" t="str">
        <f>Steuerung!U4</f>
        <v>Ben_InRe1-KA131_Call2022_v2022-10-14_frei_mgr</v>
      </c>
      <c r="X91" s="192"/>
    </row>
    <row r="92" spans="2:31" x14ac:dyDescent="0.2">
      <c r="H92" s="192"/>
      <c r="M92" s="192"/>
      <c r="X92" s="192"/>
      <c r="AB92" s="192"/>
    </row>
  </sheetData>
  <sheetProtection algorithmName="SHA-512" hashValue="cOkjcl35ef4IQwTJL7q0KmptmL4JRoJXs/eutFRQ95gENjaN2f6m/LraVWxHwfqfa5npeiiybNRol1NtcTR1xQ==" saltValue="YKPqyJncyox8rv+L44h5gw==" spinCount="100000" sheet="1" objects="1" scenarios="1"/>
  <mergeCells count="48">
    <mergeCell ref="AB25:AB28"/>
    <mergeCell ref="AC25:AC28"/>
    <mergeCell ref="AB15:AB18"/>
    <mergeCell ref="AC15:AC18"/>
    <mergeCell ref="AC50:AC52"/>
    <mergeCell ref="AB45:AB48"/>
    <mergeCell ref="AC45:AC48"/>
    <mergeCell ref="AB30:AB33"/>
    <mergeCell ref="AC30:AC33"/>
    <mergeCell ref="C35:C36"/>
    <mergeCell ref="AB35:AB36"/>
    <mergeCell ref="AC35:AC36"/>
    <mergeCell ref="C30:C33"/>
    <mergeCell ref="B5:AD5"/>
    <mergeCell ref="C15:C18"/>
    <mergeCell ref="C8:E8"/>
    <mergeCell ref="L8:W8"/>
    <mergeCell ref="C10:C13"/>
    <mergeCell ref="AB10:AB13"/>
    <mergeCell ref="AC10:AC13"/>
    <mergeCell ref="AC6:AD6"/>
    <mergeCell ref="C20:C21"/>
    <mergeCell ref="AB20:AB21"/>
    <mergeCell ref="AC20:AC21"/>
    <mergeCell ref="C25:C28"/>
    <mergeCell ref="AC68:AC70"/>
    <mergeCell ref="C40:C41"/>
    <mergeCell ref="C45:C48"/>
    <mergeCell ref="C50:C52"/>
    <mergeCell ref="AC56:AC58"/>
    <mergeCell ref="AC40:AC41"/>
    <mergeCell ref="AB40:AB41"/>
    <mergeCell ref="C76:C78"/>
    <mergeCell ref="AC76:AC78"/>
    <mergeCell ref="AB56:AB58"/>
    <mergeCell ref="AB60:AB62"/>
    <mergeCell ref="AB64:AB66"/>
    <mergeCell ref="AB68:AB70"/>
    <mergeCell ref="AB72:AB74"/>
    <mergeCell ref="AB76:AB78"/>
    <mergeCell ref="C56:C58"/>
    <mergeCell ref="C60:C62"/>
    <mergeCell ref="C64:C66"/>
    <mergeCell ref="C68:C70"/>
    <mergeCell ref="C72:C74"/>
    <mergeCell ref="AC72:AC74"/>
    <mergeCell ref="AC60:AC62"/>
    <mergeCell ref="AC64:AC66"/>
  </mergeCells>
  <conditionalFormatting sqref="AB10:AC13 AB15:AC18 AB25:AC28 AB30:AC33 AB50:AC52 AB56:AC58 AB60:AC62 AB64:AC66 AB68:AC70 AB72:AC74 AB76:AC78 AB45:AC48">
    <cfRule type="cellIs" dxfId="150" priority="1" operator="equal">
      <formula>0</formula>
    </cfRule>
  </conditionalFormatting>
  <dataValidations disablePrompts="1" count="10">
    <dataValidation type="custom" allowBlank="1" showInputMessage="1" showErrorMessage="1" errorTitle="Summe Umschichtungen zu hoch!" error="Es kann maximal der zur Verfügung stehende Betrag umgeschichtet werden." sqref="O12 T36:U36 T32:U32 T27:U27 T17:U17 Q12 S12:U12" xr:uid="{1D448CC4-FEEB-4E22-8F19-514409801E5C}">
      <formula1>($O$12+$Q$12+$S$12)&lt;=$K$12</formula1>
    </dataValidation>
    <dataValidation type="custom" allowBlank="1" showInputMessage="1" showErrorMessage="1" errorTitle="Summe Umschichtungen zu hoch!" error="Es kann maximal der zur Verfügung stehende Betrag umgeschichtet werden." sqref="M46:M47 S77:U77 Q77 O77 M77 S69:U69 Q73 O73 M73 S65:U65 Q69 O69 M69 S57:U57 Q61 O61 M61 R51:R52 P51:P52 N51:N52 S61:U61 Q65 O65 M65 S46:U47 Q57 O57 M57 S73:U73 Q46:Q47 O46:O47 T51:U52" xr:uid="{9AB1664A-EA70-4BB2-914C-E4376EAC117B}">
      <formula1>($M$46+$O$46+$Q$46+$S$46)&lt;=$K$46</formula1>
    </dataValidation>
    <dataValidation type="custom" allowBlank="1" showInputMessage="1" showErrorMessage="1" errorTitle="Summe Umschichtungen zu hoch!" error="Es kann maximal der zur Verfügung stehende Betrag umgeschichtet werden." sqref="M32 O32 Q32" xr:uid="{C8903DF2-5D86-4AEE-B631-E481B49C4E89}">
      <formula1>($M$32+$O$32+$Q$32)&lt;=$K$32</formula1>
    </dataValidation>
    <dataValidation type="custom" allowBlank="1" showInputMessage="1" showErrorMessage="1" errorTitle="Summe Umschichtungen zu hoch!" error="Es kann maximal der zur Verfügung stehende Betrag umgeschichtet werden." sqref="M27 S27 O27" xr:uid="{6C557D68-D280-4E27-B75D-22271733D565}">
      <formula1>($M$27+$O$27+$S$27)&lt;=$K$27</formula1>
    </dataValidation>
    <dataValidation type="custom" allowBlank="1" showInputMessage="1" showErrorMessage="1" errorTitle="Summe Umschichtungen zu hoch!" error="Es kann maximal der zur Verfügung stehende Betrag umgeschichtet werden." sqref="M17 S17 Q17" xr:uid="{CD916E3B-7924-4B73-AB1C-9A78075522C4}">
      <formula1>($M$17+$Q$17+$S$17)&lt;=$K$17</formula1>
    </dataValidation>
    <dataValidation type="decimal" allowBlank="1" showInputMessage="1" showErrorMessage="1" errorTitle="Betrag zu hoch!" error="Es kann maximal der oberhalb angezeigte Betrag eingetragen werden." sqref="H47 H52" xr:uid="{43CA5C34-792D-4E2E-A459-C0BA77CF19AB}">
      <formula1>0</formula1>
      <formula2>H46</formula2>
    </dataValidation>
    <dataValidation type="list" allowBlank="1" showInputMessage="1" showErrorMessage="1" sqref="C8:D8" xr:uid="{45FBF3CC-B5BD-4F5C-8DDD-A5C799261095}">
      <formula1>E_Code</formula1>
    </dataValidation>
    <dataValidation type="decimal" allowBlank="1" showInputMessage="1" showErrorMessage="1" errorTitle="Betrag zu hoch!" error="Es kann maximal der oberhalb angezeigte Betrag eingetragen werden." sqref="I48" xr:uid="{87C7B3C3-CAD7-46E8-AA8F-076E8CEFC924}">
      <formula1>0</formula1>
      <formula2>I46</formula2>
    </dataValidation>
    <dataValidation type="custom" allowBlank="1" showInputMessage="1" showErrorMessage="1" errorTitle="Betrag zu hoch!" error="Es kann in Summe maximal die Vertragssumme eingetragen werden." sqref="G58 G78:G80 G74:G75 G62 G66 G70" xr:uid="{783F45D8-97C7-4DA6-B8EE-E56878E1CA2C}">
      <formula1>(F58+G58)&lt;=X58</formula1>
    </dataValidation>
    <dataValidation type="custom" allowBlank="1" showInputMessage="1" showErrorMessage="1" errorTitle="Betrag zu hoch!" error="Es kann in Summe maximal die Vertragssumme eingetragen werden." sqref="F58 F78:F80 F74:F75 F62 F66 F70" xr:uid="{39597C97-D1E4-4DF9-BDEF-161E6BD7F9C3}">
      <formula1>(F58+G58)&lt;=X58</formula1>
    </dataValidation>
  </dataValidations>
  <printOptions horizontalCentered="1"/>
  <pageMargins left="0.39370078740157483" right="0.31496062992125984" top="0.39370078740157483" bottom="0.2" header="0.31496062992125984" footer="0.25"/>
  <pageSetup paperSize="8" scale="94" orientation="portrait" r:id="rId1"/>
  <headerFooter>
    <oddFooter>&amp;R&amp;"Calibri,Standard"&amp;9gedruckt am: &amp;D</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8DC88-6B44-4336-88E4-9B1A8D028976}">
  <sheetPr>
    <pageSetUpPr fitToPage="1"/>
  </sheetPr>
  <dimension ref="A1:P84"/>
  <sheetViews>
    <sheetView zoomScaleNormal="100" workbookViewId="0">
      <selection activeCell="L46" sqref="L46"/>
    </sheetView>
  </sheetViews>
  <sheetFormatPr baseColWidth="10" defaultColWidth="12" defaultRowHeight="12.75" x14ac:dyDescent="0.2"/>
  <cols>
    <col min="1" max="1" width="3.7109375" style="22" customWidth="1"/>
    <col min="2" max="2" width="17.5703125" style="22" customWidth="1"/>
    <col min="3" max="3" width="12.42578125" style="22" customWidth="1"/>
    <col min="4" max="4" width="6.85546875" style="22" customWidth="1"/>
    <col min="5" max="5" width="13.42578125" style="22" customWidth="1"/>
    <col min="6" max="6" width="14.42578125" style="22" customWidth="1"/>
    <col min="7" max="8" width="2.85546875" style="22" customWidth="1"/>
    <col min="9" max="9" width="2" style="22" customWidth="1"/>
    <col min="10" max="10" width="12" style="22"/>
    <col min="11" max="11" width="6.42578125" style="22" customWidth="1"/>
    <col min="12" max="12" width="12" style="22"/>
    <col min="13" max="13" width="10.140625" style="22" hidden="1" customWidth="1"/>
    <col min="14" max="15" width="9.85546875" style="22" hidden="1" customWidth="1"/>
    <col min="16" max="16" width="0" style="22" hidden="1" customWidth="1"/>
    <col min="17" max="16384" width="12" style="22"/>
  </cols>
  <sheetData>
    <row r="1" spans="1:13" s="39" customFormat="1" ht="66.75" customHeight="1" x14ac:dyDescent="0.2">
      <c r="L1" s="460"/>
    </row>
    <row r="2" spans="1:13" s="39" customFormat="1" ht="55.5" customHeight="1" x14ac:dyDescent="0.2">
      <c r="A2" s="461"/>
      <c r="B2" s="726" t="str">
        <f>Steuerung!U5&amp;" - Erklärung über die Verwendung der bisherigen Vorauszahlung(en)
ERASMUS+  Mobilität von Lernenden und Bildungspersonal (KA131) Call 2022"</f>
        <v>1.  Z W I S C H E N B E R I C H T - Erklärung über die Verwendung der bisherigen Vorauszahlung(en)
ERASMUS+  Mobilität von Lernenden und Bildungspersonal (KA131) Call 2022</v>
      </c>
      <c r="C2" s="727"/>
      <c r="D2" s="727"/>
      <c r="E2" s="727"/>
      <c r="F2" s="727"/>
      <c r="G2" s="727"/>
      <c r="H2" s="727"/>
      <c r="I2" s="727"/>
      <c r="J2" s="727"/>
      <c r="K2" s="727"/>
      <c r="L2" s="728"/>
      <c r="M2" s="462"/>
    </row>
    <row r="3" spans="1:13" s="39" customFormat="1" ht="9.75" customHeight="1" x14ac:dyDescent="0.2">
      <c r="A3" s="463"/>
      <c r="L3" s="464" t="str">
        <f>Erklärung!J6</f>
        <v>1.1.2</v>
      </c>
    </row>
    <row r="4" spans="1:13" s="467" customFormat="1" ht="15" customHeight="1" x14ac:dyDescent="0.2">
      <c r="A4" s="465"/>
      <c r="B4" s="729" t="s">
        <v>579</v>
      </c>
      <c r="C4" s="729"/>
      <c r="D4" s="729"/>
      <c r="E4" s="729"/>
      <c r="F4" s="730" t="str">
        <f>'Dateneingabe Mobilitäten'!C1&amp;" / "&amp;VLOOKUP('Dateneingabe Mobilitäten'!C1,'Daten 2022'!$A$2:$CC$78,3,0)</f>
        <v xml:space="preserve">&lt;-- Bitte Erasmus Code auswählen --&gt; / </v>
      </c>
      <c r="G4" s="730"/>
      <c r="H4" s="730"/>
      <c r="I4" s="730"/>
      <c r="J4" s="730"/>
      <c r="K4" s="730"/>
      <c r="L4" s="730"/>
      <c r="M4" s="466"/>
    </row>
    <row r="5" spans="1:13" s="467" customFormat="1" ht="33.75" customHeight="1" x14ac:dyDescent="0.2">
      <c r="A5" s="465"/>
      <c r="B5" s="729" t="s">
        <v>1</v>
      </c>
      <c r="C5" s="729"/>
      <c r="D5" s="729"/>
      <c r="E5" s="729"/>
      <c r="F5" s="731">
        <f>VLOOKUP('Dateneingabe Mobilitäten'!C1,'Daten 2022'!$A$2:$CC$78,2,0)</f>
        <v>0</v>
      </c>
      <c r="G5" s="731"/>
      <c r="H5" s="731"/>
      <c r="I5" s="731"/>
      <c r="J5" s="731"/>
      <c r="K5" s="731"/>
      <c r="L5" s="731"/>
      <c r="M5" s="468"/>
    </row>
    <row r="6" spans="1:13" s="467" customFormat="1" ht="15" customHeight="1" x14ac:dyDescent="0.2">
      <c r="A6" s="465"/>
      <c r="B6" s="469" t="s">
        <v>580</v>
      </c>
      <c r="C6" s="469"/>
      <c r="D6" s="469"/>
      <c r="E6" s="469"/>
      <c r="F6" s="730" t="str">
        <f>VLOOKUP('Dateneingabe Mobilitäten'!C1,'Daten 2022'!$A$2:$CC$78,4,0)&amp;" / "&amp;VLOOKUP('Dateneingabe Mobilitäten'!C1,'Daten 2022'!$A$2:$CC$78,5,0)</f>
        <v xml:space="preserve"> / </v>
      </c>
      <c r="G6" s="730"/>
      <c r="H6" s="730"/>
      <c r="I6" s="730"/>
      <c r="J6" s="730"/>
      <c r="K6" s="730"/>
      <c r="L6" s="730"/>
      <c r="M6" s="470"/>
    </row>
    <row r="7" spans="1:13" s="39" customFormat="1" ht="6" customHeight="1" x14ac:dyDescent="0.2">
      <c r="A7" s="461"/>
      <c r="B7" s="471"/>
      <c r="C7" s="471"/>
      <c r="D7" s="471"/>
      <c r="E7" s="471"/>
      <c r="F7" s="472"/>
      <c r="G7" s="472"/>
      <c r="H7" s="472"/>
      <c r="I7" s="472"/>
      <c r="J7" s="472"/>
      <c r="K7" s="472"/>
      <c r="L7" s="472"/>
      <c r="M7" s="472"/>
    </row>
    <row r="8" spans="1:13" s="479" customFormat="1" ht="15" x14ac:dyDescent="0.25">
      <c r="A8" s="473"/>
      <c r="B8" s="474" t="s">
        <v>378</v>
      </c>
      <c r="C8" s="475"/>
      <c r="D8" s="475"/>
      <c r="E8" s="475"/>
      <c r="F8" s="475"/>
      <c r="G8" s="476"/>
      <c r="H8" s="476" t="s">
        <v>581</v>
      </c>
      <c r="I8" s="732">
        <f>Steuerung!O3</f>
        <v>44834</v>
      </c>
      <c r="J8" s="732"/>
      <c r="K8" s="477" t="s">
        <v>582</v>
      </c>
      <c r="L8" s="478"/>
    </row>
    <row r="9" spans="1:13" s="39" customFormat="1" ht="6.75" customHeight="1" thickBot="1" x14ac:dyDescent="0.3">
      <c r="A9" s="463"/>
      <c r="B9" s="480"/>
      <c r="C9" s="481"/>
      <c r="D9" s="481"/>
      <c r="F9" s="482"/>
      <c r="G9" s="482"/>
      <c r="H9" s="482"/>
      <c r="I9" s="482"/>
      <c r="J9" s="482"/>
      <c r="K9" s="482"/>
    </row>
    <row r="10" spans="1:13" s="467" customFormat="1" ht="14.25" customHeight="1" x14ac:dyDescent="0.2">
      <c r="A10" s="483"/>
      <c r="C10" s="484"/>
      <c r="D10" s="485"/>
      <c r="E10" s="733" t="s">
        <v>380</v>
      </c>
      <c r="F10" s="733"/>
      <c r="G10" s="486"/>
      <c r="H10" s="486"/>
      <c r="I10" s="487"/>
      <c r="J10" s="733" t="s">
        <v>379</v>
      </c>
      <c r="K10" s="733"/>
      <c r="L10" s="734"/>
      <c r="M10" s="488"/>
    </row>
    <row r="11" spans="1:13" s="467" customFormat="1" ht="14.25" customHeight="1" x14ac:dyDescent="0.2">
      <c r="A11" s="465"/>
      <c r="C11" s="489"/>
      <c r="D11" s="469"/>
      <c r="E11" s="490" t="s">
        <v>350</v>
      </c>
      <c r="F11" s="490" t="s">
        <v>114</v>
      </c>
      <c r="G11" s="490"/>
      <c r="J11" s="491" t="s">
        <v>350</v>
      </c>
      <c r="K11" s="492"/>
      <c r="L11" s="493" t="s">
        <v>114</v>
      </c>
    </row>
    <row r="12" spans="1:13" s="494" customFormat="1" ht="14.25" customHeight="1" x14ac:dyDescent="0.2">
      <c r="A12" s="465"/>
      <c r="C12" s="495" t="s">
        <v>349</v>
      </c>
      <c r="D12" s="496"/>
      <c r="E12" s="497">
        <f>'Dateneingabe Mobilitäten'!F4</f>
        <v>0</v>
      </c>
      <c r="F12" s="498">
        <f>'Dateneingabe Mobilitäten'!F7</f>
        <v>0</v>
      </c>
      <c r="G12" s="499"/>
      <c r="I12" s="500"/>
      <c r="J12" s="497">
        <f>'Dateneingabe Mobilitäten'!I4</f>
        <v>0</v>
      </c>
      <c r="K12" s="721">
        <f>'Dateneingabe Mobilitäten'!I7</f>
        <v>0</v>
      </c>
      <c r="L12" s="722"/>
    </row>
    <row r="13" spans="1:13" s="494" customFormat="1" ht="14.25" customHeight="1" x14ac:dyDescent="0.2">
      <c r="A13" s="465"/>
      <c r="C13" s="495" t="s">
        <v>351</v>
      </c>
      <c r="D13" s="496"/>
      <c r="E13" s="497">
        <f>'Dateneingabe Mobilitäten'!F9</f>
        <v>0</v>
      </c>
      <c r="F13" s="498">
        <f>'Dateneingabe Mobilitäten'!F12</f>
        <v>0</v>
      </c>
      <c r="G13" s="499"/>
      <c r="I13" s="500"/>
      <c r="J13" s="497">
        <f>'Dateneingabe Mobilitäten'!I9</f>
        <v>0</v>
      </c>
      <c r="K13" s="721">
        <f>'Dateneingabe Mobilitäten'!I12</f>
        <v>0</v>
      </c>
      <c r="L13" s="722"/>
    </row>
    <row r="14" spans="1:13" s="494" customFormat="1" ht="14.25" customHeight="1" x14ac:dyDescent="0.2">
      <c r="A14" s="465"/>
      <c r="C14" s="495" t="s">
        <v>3</v>
      </c>
      <c r="D14" s="496"/>
      <c r="E14" s="497">
        <f>'Dateneingabe Mobilitäten'!F19</f>
        <v>0</v>
      </c>
      <c r="F14" s="498">
        <f>'Dateneingabe Mobilitäten'!F22</f>
        <v>0</v>
      </c>
      <c r="G14" s="499"/>
      <c r="I14" s="500"/>
      <c r="J14" s="497">
        <f>'Dateneingabe Mobilitäten'!I19</f>
        <v>0</v>
      </c>
      <c r="K14" s="721">
        <f>'Dateneingabe Mobilitäten'!I22</f>
        <v>0</v>
      </c>
      <c r="L14" s="722"/>
    </row>
    <row r="15" spans="1:13" s="494" customFormat="1" ht="14.25" customHeight="1" x14ac:dyDescent="0.2">
      <c r="A15" s="465"/>
      <c r="C15" s="495" t="s">
        <v>4</v>
      </c>
      <c r="D15" s="496"/>
      <c r="E15" s="497">
        <f>'Dateneingabe Mobilitäten'!F24</f>
        <v>0</v>
      </c>
      <c r="F15" s="498">
        <f>'Dateneingabe Mobilitäten'!F27</f>
        <v>0</v>
      </c>
      <c r="G15" s="499"/>
      <c r="I15" s="500"/>
      <c r="J15" s="497">
        <f>'Dateneingabe Mobilitäten'!I24</f>
        <v>0</v>
      </c>
      <c r="K15" s="721">
        <f>'Dateneingabe Mobilitäten'!I27</f>
        <v>0</v>
      </c>
      <c r="L15" s="722"/>
    </row>
    <row r="16" spans="1:13" s="494" customFormat="1" ht="7.5" customHeight="1" x14ac:dyDescent="0.2">
      <c r="A16" s="465"/>
      <c r="C16" s="489"/>
      <c r="D16" s="469"/>
      <c r="E16" s="501"/>
      <c r="F16" s="501"/>
      <c r="G16" s="501"/>
      <c r="J16" s="502"/>
      <c r="K16" s="715"/>
      <c r="L16" s="716"/>
    </row>
    <row r="17" spans="1:13" s="494" customFormat="1" ht="15" customHeight="1" x14ac:dyDescent="0.2">
      <c r="A17" s="465"/>
      <c r="C17" s="495" t="s">
        <v>670</v>
      </c>
      <c r="D17" s="496"/>
      <c r="E17" s="503">
        <f>'Dateneingabe Mobilitäten'!F34</f>
        <v>0</v>
      </c>
      <c r="F17" s="498">
        <f>'Dateneingabe Mobilitäten'!F35</f>
        <v>0</v>
      </c>
      <c r="G17" s="499"/>
      <c r="I17" s="500"/>
      <c r="J17" s="497">
        <f>'Dateneingabe Mobilitäten'!I34</f>
        <v>0</v>
      </c>
      <c r="K17" s="721">
        <f>'Dateneingabe Mobilitäten'!I35</f>
        <v>0</v>
      </c>
      <c r="L17" s="722"/>
    </row>
    <row r="18" spans="1:13" s="494" customFormat="1" ht="7.5" customHeight="1" x14ac:dyDescent="0.2">
      <c r="A18" s="465"/>
      <c r="C18" s="489"/>
      <c r="D18" s="469"/>
      <c r="E18" s="501"/>
      <c r="F18" s="501"/>
      <c r="G18" s="501"/>
      <c r="J18" s="502"/>
      <c r="K18" s="715"/>
      <c r="L18" s="716"/>
    </row>
    <row r="19" spans="1:13" s="494" customFormat="1" ht="15" customHeight="1" x14ac:dyDescent="0.2">
      <c r="A19" s="465"/>
      <c r="C19" s="495" t="s">
        <v>354</v>
      </c>
      <c r="D19" s="496"/>
      <c r="E19" s="503">
        <f>'Dateneingabe Mobilitäten'!F40</f>
        <v>0</v>
      </c>
      <c r="F19" s="498">
        <f>'Dateneingabe Mobilitäten'!F41</f>
        <v>0</v>
      </c>
      <c r="G19" s="499"/>
      <c r="I19" s="500"/>
      <c r="J19" s="497">
        <f>'Dateneingabe Mobilitäten'!I40</f>
        <v>0</v>
      </c>
      <c r="K19" s="721">
        <f>'Dateneingabe Mobilitäten'!I43</f>
        <v>0</v>
      </c>
      <c r="L19" s="722"/>
    </row>
    <row r="20" spans="1:13" s="494" customFormat="1" ht="15" customHeight="1" x14ac:dyDescent="0.2">
      <c r="A20" s="465"/>
      <c r="C20" s="495" t="s">
        <v>932</v>
      </c>
      <c r="D20" s="496"/>
      <c r="E20" s="503">
        <f>'Dateneingabe Mobilitäten'!F45</f>
        <v>0</v>
      </c>
      <c r="F20" s="498">
        <f>'Dateneingabe Mobilitäten'!F46</f>
        <v>0</v>
      </c>
      <c r="G20" s="499"/>
      <c r="I20" s="500"/>
      <c r="J20" s="497">
        <f>'Dateneingabe Mobilitäten'!I45</f>
        <v>0</v>
      </c>
      <c r="K20" s="721">
        <f>'Dateneingabe Mobilitäten'!I47</f>
        <v>0</v>
      </c>
      <c r="L20" s="722"/>
    </row>
    <row r="21" spans="1:13" s="494" customFormat="1" ht="15" customHeight="1" x14ac:dyDescent="0.2">
      <c r="A21" s="465"/>
      <c r="C21" s="489"/>
      <c r="D21" s="504"/>
      <c r="E21" s="505"/>
      <c r="F21" s="506"/>
      <c r="G21" s="506"/>
      <c r="I21" s="507"/>
      <c r="J21" s="508"/>
      <c r="K21" s="717"/>
      <c r="L21" s="718"/>
    </row>
    <row r="22" spans="1:13" s="494" customFormat="1" ht="12" customHeight="1" x14ac:dyDescent="0.2">
      <c r="A22" s="465"/>
      <c r="C22" s="489"/>
      <c r="D22" s="469"/>
      <c r="E22" s="28" t="s">
        <v>691</v>
      </c>
      <c r="F22" s="450" t="s">
        <v>114</v>
      </c>
      <c r="G22" s="509"/>
      <c r="J22" s="490" t="s">
        <v>691</v>
      </c>
      <c r="K22" s="719"/>
      <c r="L22" s="720"/>
    </row>
    <row r="23" spans="1:13" s="494" customFormat="1" ht="15" customHeight="1" x14ac:dyDescent="0.2">
      <c r="A23" s="465"/>
      <c r="C23" s="363" t="s">
        <v>926</v>
      </c>
      <c r="D23" s="496"/>
      <c r="E23" s="497">
        <f>'Dateneingabe Mobilitäten'!F52</f>
        <v>0</v>
      </c>
      <c r="F23" s="498">
        <f>'Dateneingabe Mobilitäten'!F54</f>
        <v>0</v>
      </c>
      <c r="G23" s="499"/>
      <c r="I23" s="500"/>
      <c r="J23" s="497">
        <f>'Dateneingabe Mobilitäten'!I52</f>
        <v>0</v>
      </c>
      <c r="K23" s="721">
        <f>'Dateneingabe Mobilitäten'!I54</f>
        <v>0</v>
      </c>
      <c r="L23" s="722"/>
    </row>
    <row r="24" spans="1:13" s="494" customFormat="1" ht="15" customHeight="1" x14ac:dyDescent="0.2">
      <c r="A24" s="465"/>
      <c r="C24" s="363" t="s">
        <v>927</v>
      </c>
      <c r="D24" s="496"/>
      <c r="E24" s="497">
        <f>'Dateneingabe Mobilitäten'!F56</f>
        <v>0</v>
      </c>
      <c r="F24" s="498">
        <f>'Dateneingabe Mobilitäten'!F58</f>
        <v>0</v>
      </c>
      <c r="G24" s="499"/>
      <c r="I24" s="500"/>
      <c r="J24" s="497">
        <f>'Dateneingabe Mobilitäten'!I56</f>
        <v>0</v>
      </c>
      <c r="K24" s="721">
        <f>'Dateneingabe Mobilitäten'!I58</f>
        <v>0</v>
      </c>
      <c r="L24" s="722"/>
    </row>
    <row r="25" spans="1:13" s="494" customFormat="1" ht="15" customHeight="1" x14ac:dyDescent="0.2">
      <c r="A25" s="465"/>
      <c r="C25" s="363" t="s">
        <v>928</v>
      </c>
      <c r="D25" s="496"/>
      <c r="E25" s="497">
        <f>'Dateneingabe Mobilitäten'!F60</f>
        <v>0</v>
      </c>
      <c r="F25" s="498">
        <f>'Dateneingabe Mobilitäten'!F62</f>
        <v>0</v>
      </c>
      <c r="G25" s="499"/>
      <c r="I25" s="500"/>
      <c r="J25" s="497">
        <f>'Dateneingabe Mobilitäten'!I60</f>
        <v>0</v>
      </c>
      <c r="K25" s="721">
        <f>'Dateneingabe Mobilitäten'!I62</f>
        <v>0</v>
      </c>
      <c r="L25" s="722"/>
    </row>
    <row r="26" spans="1:13" s="494" customFormat="1" ht="15" customHeight="1" x14ac:dyDescent="0.2">
      <c r="A26" s="465"/>
      <c r="C26" s="363" t="s">
        <v>929</v>
      </c>
      <c r="D26" s="496"/>
      <c r="E26" s="497">
        <f>'Dateneingabe Mobilitäten'!F64</f>
        <v>0</v>
      </c>
      <c r="F26" s="498">
        <f>'Dateneingabe Mobilitäten'!F66</f>
        <v>0</v>
      </c>
      <c r="G26" s="499"/>
      <c r="I26" s="500"/>
      <c r="J26" s="497">
        <f>'Dateneingabe Mobilitäten'!I64</f>
        <v>0</v>
      </c>
      <c r="K26" s="721">
        <f>'Dateneingabe Mobilitäten'!I66</f>
        <v>0</v>
      </c>
      <c r="L26" s="722"/>
    </row>
    <row r="27" spans="1:13" s="494" customFormat="1" ht="15" customHeight="1" x14ac:dyDescent="0.2">
      <c r="A27" s="465"/>
      <c r="C27" s="363" t="s">
        <v>930</v>
      </c>
      <c r="D27" s="496"/>
      <c r="E27" s="497">
        <f>'Dateneingabe Mobilitäten'!F68</f>
        <v>0</v>
      </c>
      <c r="F27" s="498">
        <f>'Dateneingabe Mobilitäten'!F70</f>
        <v>0</v>
      </c>
      <c r="G27" s="499"/>
      <c r="I27" s="500"/>
      <c r="J27" s="497">
        <f>'Dateneingabe Mobilitäten'!I68</f>
        <v>0</v>
      </c>
      <c r="K27" s="721">
        <f>'Dateneingabe Mobilitäten'!I70</f>
        <v>0</v>
      </c>
      <c r="L27" s="722"/>
    </row>
    <row r="28" spans="1:13" s="494" customFormat="1" ht="15" customHeight="1" x14ac:dyDescent="0.2">
      <c r="A28" s="465"/>
      <c r="C28" s="363" t="s">
        <v>931</v>
      </c>
      <c r="D28" s="496"/>
      <c r="E28" s="497">
        <f>'Dateneingabe Mobilitäten'!F72</f>
        <v>0</v>
      </c>
      <c r="F28" s="103">
        <f>'Dateneingabe Mobilitäten'!F74</f>
        <v>0</v>
      </c>
      <c r="G28" s="499"/>
      <c r="I28" s="500"/>
      <c r="J28" s="503">
        <f>'Dateneingabe Mobilitäten'!I72</f>
        <v>0</v>
      </c>
      <c r="K28" s="721">
        <f>'Dateneingabe Mobilitäten'!I74</f>
        <v>0</v>
      </c>
      <c r="L28" s="722"/>
    </row>
    <row r="29" spans="1:13" s="494" customFormat="1" ht="7.5" customHeight="1" thickBot="1" x14ac:dyDescent="0.25">
      <c r="A29" s="465"/>
      <c r="C29" s="489"/>
      <c r="D29" s="469"/>
      <c r="E29" s="469"/>
      <c r="F29" s="469"/>
      <c r="G29" s="469"/>
      <c r="H29" s="469"/>
      <c r="J29" s="510"/>
      <c r="K29" s="723"/>
      <c r="L29" s="724"/>
      <c r="M29" s="510"/>
    </row>
    <row r="30" spans="1:13" s="494" customFormat="1" ht="15" customHeight="1" thickBot="1" x14ac:dyDescent="0.25">
      <c r="A30" s="465"/>
      <c r="C30" s="511" t="s">
        <v>115</v>
      </c>
      <c r="D30" s="512"/>
      <c r="E30" s="513"/>
      <c r="F30" s="514">
        <f>SUM(F12:F28)</f>
        <v>0</v>
      </c>
      <c r="G30" s="515"/>
      <c r="H30" s="516"/>
      <c r="I30" s="517"/>
      <c r="J30" s="518"/>
      <c r="K30" s="519"/>
      <c r="L30" s="514">
        <f>K12+K13+K14+K15+K17+K19+K20+K23+K24+K25+K26+K27+K28</f>
        <v>0</v>
      </c>
      <c r="M30" s="509"/>
    </row>
    <row r="31" spans="1:13" s="494" customFormat="1" ht="6" customHeight="1" x14ac:dyDescent="0.2">
      <c r="A31" s="465"/>
      <c r="C31" s="469"/>
      <c r="D31" s="469"/>
      <c r="E31" s="469"/>
      <c r="F31" s="509"/>
      <c r="G31" s="509"/>
      <c r="H31" s="509"/>
      <c r="J31" s="520"/>
      <c r="K31" s="520"/>
      <c r="L31" s="509"/>
      <c r="M31" s="509"/>
    </row>
    <row r="32" spans="1:13" s="494" customFormat="1" ht="6" customHeight="1" x14ac:dyDescent="0.2">
      <c r="A32" s="465"/>
      <c r="B32" s="469"/>
      <c r="C32" s="469"/>
      <c r="D32" s="469"/>
      <c r="E32" s="469"/>
      <c r="F32" s="469"/>
      <c r="G32" s="469"/>
      <c r="H32" s="469"/>
      <c r="I32" s="521"/>
      <c r="J32" s="521"/>
      <c r="K32" s="521"/>
      <c r="L32" s="522"/>
      <c r="M32" s="522"/>
    </row>
    <row r="33" spans="1:15" s="479" customFormat="1" ht="15" x14ac:dyDescent="0.25">
      <c r="A33" s="473"/>
      <c r="B33" s="477" t="s">
        <v>583</v>
      </c>
      <c r="C33" s="474"/>
      <c r="D33" s="474"/>
      <c r="E33" s="735" t="s">
        <v>584</v>
      </c>
      <c r="F33" s="735"/>
      <c r="G33" s="735"/>
      <c r="H33" s="735"/>
      <c r="I33" s="732">
        <f>Steuerung!O3</f>
        <v>44834</v>
      </c>
      <c r="J33" s="732"/>
      <c r="K33" s="477" t="s">
        <v>582</v>
      </c>
      <c r="L33" s="475"/>
      <c r="N33" s="523">
        <f>VLOOKUP('Dateneingabe Mobilitäten'!$C$1,'Daten 2022'!$A$2:$CC$79,48,0)</f>
        <v>0</v>
      </c>
    </row>
    <row r="34" spans="1:15" s="494" customFormat="1" ht="6.75" customHeight="1" x14ac:dyDescent="0.2">
      <c r="A34" s="501"/>
      <c r="B34" s="501"/>
      <c r="C34" s="501"/>
      <c r="D34" s="501"/>
      <c r="E34" s="501"/>
      <c r="F34" s="501"/>
      <c r="G34" s="501"/>
      <c r="H34" s="501"/>
      <c r="I34" s="501"/>
      <c r="J34" s="501"/>
      <c r="K34" s="501"/>
      <c r="L34" s="501"/>
      <c r="M34" s="501"/>
    </row>
    <row r="35" spans="1:15" s="494" customFormat="1" ht="15" customHeight="1" x14ac:dyDescent="0.2">
      <c r="A35" s="501"/>
      <c r="C35" s="524" t="s">
        <v>388</v>
      </c>
      <c r="D35" s="524"/>
      <c r="E35" s="524"/>
      <c r="F35" s="467"/>
      <c r="G35" s="483"/>
      <c r="H35" s="483"/>
      <c r="I35" s="483"/>
      <c r="J35" s="467"/>
      <c r="K35" s="501"/>
      <c r="L35" s="301">
        <f>VLOOKUP('Dateneingabe Mobilitäten'!C1,'Daten 2022'!$A$2:$CC$79,43,0)</f>
        <v>0</v>
      </c>
      <c r="M35" s="501"/>
      <c r="N35" s="501" t="s">
        <v>937</v>
      </c>
      <c r="O35" s="549">
        <v>0.7</v>
      </c>
    </row>
    <row r="36" spans="1:15" s="494" customFormat="1" ht="12" x14ac:dyDescent="0.2">
      <c r="A36" s="501"/>
      <c r="C36" s="524"/>
      <c r="D36" s="524"/>
      <c r="E36" s="524"/>
      <c r="F36" s="467"/>
      <c r="G36" s="483"/>
      <c r="H36" s="483"/>
      <c r="I36" s="483"/>
      <c r="J36" s="467"/>
      <c r="K36" s="558" t="s">
        <v>940</v>
      </c>
      <c r="L36" s="301"/>
      <c r="M36" s="501"/>
      <c r="N36" s="501"/>
      <c r="O36" s="549"/>
    </row>
    <row r="37" spans="1:15" s="494" customFormat="1" ht="15" customHeight="1" x14ac:dyDescent="0.2">
      <c r="A37" s="501"/>
      <c r="C37" s="524" t="s">
        <v>683</v>
      </c>
      <c r="D37" s="524"/>
      <c r="E37" s="524"/>
      <c r="F37" s="467"/>
      <c r="G37" s="524" t="s">
        <v>390</v>
      </c>
      <c r="H37" s="483"/>
      <c r="I37" s="483"/>
      <c r="J37" s="467"/>
      <c r="K37" s="490" t="s">
        <v>585</v>
      </c>
      <c r="L37" s="301">
        <f>VLOOKUP('Dateneingabe Mobilitäten'!$C$1,'Daten 2022'!$A$2:$CC$79,51,0)</f>
        <v>0</v>
      </c>
      <c r="M37" s="501"/>
      <c r="N37" s="525">
        <f>VLOOKUP('Dateneingabe Mobilitäten'!$C$1,'Daten 2022'!$A$2:$CC$79,51,0)</f>
        <v>0</v>
      </c>
      <c r="O37" s="525">
        <f>L37*0.7</f>
        <v>0</v>
      </c>
    </row>
    <row r="38" spans="1:15" s="494" customFormat="1" ht="15" customHeight="1" x14ac:dyDescent="0.2">
      <c r="A38" s="501"/>
      <c r="C38" s="524"/>
      <c r="D38" s="524"/>
      <c r="E38" s="524"/>
      <c r="F38" s="467"/>
      <c r="G38" s="524" t="s">
        <v>684</v>
      </c>
      <c r="H38" s="483"/>
      <c r="I38" s="483"/>
      <c r="J38" s="467"/>
      <c r="K38" s="333" t="s">
        <v>586</v>
      </c>
      <c r="L38" s="301">
        <f>IF(K38="X",VLOOKUP('Dateneingabe Mobilitäten'!$C$1,'Daten 2022'!$A$2:$CC$79,53,0),0)</f>
        <v>0</v>
      </c>
      <c r="N38" s="525">
        <f>VLOOKUP('Dateneingabe Mobilitäten'!$C$1,'Daten 2022'!$A$2:$CC$79,53,0)</f>
        <v>0</v>
      </c>
      <c r="O38" s="525">
        <f>(L37+L38)*0.7</f>
        <v>0</v>
      </c>
    </row>
    <row r="39" spans="1:15" s="494" customFormat="1" ht="15" customHeight="1" x14ac:dyDescent="0.2">
      <c r="A39" s="501"/>
      <c r="C39" s="524"/>
      <c r="D39" s="524"/>
      <c r="E39" s="524"/>
      <c r="F39" s="467"/>
      <c r="G39" s="524" t="s">
        <v>685</v>
      </c>
      <c r="H39" s="483"/>
      <c r="I39" s="483"/>
      <c r="J39" s="467"/>
      <c r="K39" s="333" t="s">
        <v>586</v>
      </c>
      <c r="L39" s="301">
        <f>IF(K39="X",VLOOKUP('Dateneingabe Mobilitäten'!$C$1,'Daten 2022'!$A$2:$CC$79,55,0),0)</f>
        <v>0</v>
      </c>
      <c r="M39" s="501"/>
      <c r="N39" s="525">
        <f>VLOOKUP('Dateneingabe Mobilitäten'!$C$1,'Daten 2022'!$A$2:$CC$79,55,0)</f>
        <v>0</v>
      </c>
      <c r="O39" s="525">
        <f>(L37+L38+L39)*0.7</f>
        <v>0</v>
      </c>
    </row>
    <row r="40" spans="1:15" s="494" customFormat="1" ht="15" customHeight="1" x14ac:dyDescent="0.2">
      <c r="A40" s="501"/>
      <c r="C40" s="524"/>
      <c r="D40" s="524"/>
      <c r="E40" s="524"/>
      <c r="F40" s="467"/>
      <c r="G40" s="524" t="s">
        <v>686</v>
      </c>
      <c r="H40" s="483"/>
      <c r="I40" s="483"/>
      <c r="J40" s="467"/>
      <c r="K40" s="333" t="s">
        <v>586</v>
      </c>
      <c r="L40" s="301">
        <f>IF(K40="X",VLOOKUP('Dateneingabe Mobilitäten'!$C$1,'Daten 2022'!$A$2:$CC$79,57,0),0)</f>
        <v>0</v>
      </c>
      <c r="M40" s="501"/>
      <c r="N40" s="525">
        <f>VLOOKUP('Dateneingabe Mobilitäten'!$C$1,'Daten 2022'!$A$2:$CC$79,57,0)</f>
        <v>0</v>
      </c>
      <c r="O40" s="525">
        <f>(L37+L38+L39+L40)*0.7</f>
        <v>0</v>
      </c>
    </row>
    <row r="41" spans="1:15" s="494" customFormat="1" ht="15" customHeight="1" x14ac:dyDescent="0.2">
      <c r="A41" s="501"/>
      <c r="C41" s="524"/>
      <c r="D41" s="524"/>
      <c r="E41" s="524"/>
      <c r="F41" s="467"/>
      <c r="G41" s="524" t="s">
        <v>687</v>
      </c>
      <c r="H41" s="483"/>
      <c r="I41" s="483"/>
      <c r="J41" s="467"/>
      <c r="K41" s="333"/>
      <c r="L41" s="301">
        <f>IF(K41="X",VLOOKUP('Dateneingabe Mobilitäten'!$C$1,'Daten 2022'!$A$2:$CC$79,59,0),0)</f>
        <v>0</v>
      </c>
      <c r="M41" s="501"/>
      <c r="N41" s="525">
        <f>VLOOKUP('Dateneingabe Mobilitäten'!$C$1,'Daten 2022'!$A$2:$CC$79,59,0)</f>
        <v>0</v>
      </c>
      <c r="O41" s="525">
        <f>(L37+L38+L39+L40+L41)*0.7</f>
        <v>0</v>
      </c>
    </row>
    <row r="42" spans="1:15" s="494" customFormat="1" ht="15" customHeight="1" x14ac:dyDescent="0.2">
      <c r="A42" s="501"/>
      <c r="B42" s="501"/>
      <c r="C42" s="501"/>
      <c r="D42" s="501"/>
      <c r="E42" s="501"/>
      <c r="F42" s="501"/>
      <c r="G42" s="501" t="s">
        <v>587</v>
      </c>
      <c r="H42" s="501"/>
      <c r="I42" s="501"/>
      <c r="J42" s="501"/>
      <c r="K42" s="550">
        <f>COUNTIF(K37:K41,"X")</f>
        <v>1</v>
      </c>
      <c r="L42" s="526">
        <f>SUM(L37:L41)</f>
        <v>0</v>
      </c>
      <c r="M42" s="501"/>
      <c r="N42" s="526">
        <f>SUM(N37:N41)</f>
        <v>0</v>
      </c>
      <c r="O42" s="526"/>
    </row>
    <row r="43" spans="1:15" s="494" customFormat="1" ht="6" customHeight="1" x14ac:dyDescent="0.2">
      <c r="A43" s="501"/>
      <c r="B43" s="501"/>
      <c r="C43" s="501"/>
      <c r="D43" s="501"/>
      <c r="E43" s="501"/>
      <c r="F43" s="501"/>
      <c r="G43" s="501"/>
      <c r="H43" s="501"/>
      <c r="I43" s="501"/>
      <c r="J43" s="501"/>
      <c r="K43" s="501"/>
      <c r="L43" s="501"/>
      <c r="M43" s="501"/>
    </row>
    <row r="44" spans="1:15" s="494" customFormat="1" ht="15" customHeight="1" x14ac:dyDescent="0.2">
      <c r="A44" s="501"/>
      <c r="B44" s="501"/>
      <c r="C44" s="524" t="s">
        <v>588</v>
      </c>
      <c r="D44" s="524"/>
      <c r="E44" s="524"/>
      <c r="F44" s="467"/>
      <c r="G44" s="483"/>
      <c r="H44" s="483"/>
      <c r="I44" s="483"/>
      <c r="J44" s="467"/>
      <c r="K44" s="501"/>
      <c r="L44" s="501"/>
      <c r="M44" s="501"/>
    </row>
    <row r="45" spans="1:15" s="494" customFormat="1" ht="6" customHeight="1" thickBot="1" x14ac:dyDescent="0.25">
      <c r="A45" s="501"/>
      <c r="B45" s="501"/>
      <c r="C45" s="524"/>
      <c r="D45" s="524"/>
      <c r="E45" s="524"/>
      <c r="F45" s="467"/>
      <c r="G45" s="483"/>
      <c r="H45" s="483"/>
      <c r="I45" s="483"/>
      <c r="J45" s="467"/>
      <c r="K45" s="501"/>
      <c r="L45" s="501"/>
      <c r="M45" s="501"/>
    </row>
    <row r="46" spans="1:15" s="494" customFormat="1" ht="15" customHeight="1" thickBot="1" x14ac:dyDescent="0.25">
      <c r="A46" s="501"/>
      <c r="B46" s="501"/>
      <c r="C46" s="467"/>
      <c r="D46" s="524" t="s">
        <v>389</v>
      </c>
      <c r="E46" s="524"/>
      <c r="F46" s="524"/>
      <c r="G46" s="524"/>
      <c r="H46" s="467"/>
      <c r="I46" s="524"/>
      <c r="K46" s="501"/>
      <c r="L46" s="302">
        <v>0</v>
      </c>
      <c r="M46" s="501"/>
      <c r="N46" s="527" t="s">
        <v>247</v>
      </c>
    </row>
    <row r="47" spans="1:15" s="494" customFormat="1" ht="15" customHeight="1" thickBot="1" x14ac:dyDescent="0.25">
      <c r="A47" s="501"/>
      <c r="B47" s="501"/>
      <c r="D47" s="524" t="s">
        <v>524</v>
      </c>
      <c r="E47" s="469"/>
      <c r="F47" s="501"/>
      <c r="G47" s="509"/>
      <c r="I47" s="501"/>
      <c r="K47" s="501"/>
      <c r="L47" s="302">
        <v>0</v>
      </c>
      <c r="M47" s="501"/>
      <c r="N47" s="528">
        <f>IFERROR(IF(AND(L51&gt;0.7,K42=1),MIN(VLOOKUP('Dateneingabe Mobilitäten'!$C$1,'Daten 2022'!$A$3:$CC$78,53,0),(L30-L42)),IF(AND(L51&gt;0.7,K42=2),MIN(VLOOKUP('Dateneingabe Mobilitäten'!$C$1,'Daten 2022'!$A$3:$CC$78,55,0),(L30-L42)),IF(AND(L51&gt;0.7,K42=3),MIN(VLOOKUP('Dateneingabe Mobilitäten'!$C$1,'Daten 2022'!$A$3:$CC$78,57,0),(L30-L42)),IF(AND(L51&gt;0.7,K42=4),MIN(VLOOKUP('Dateneingabe Mobilitäten'!$C$1,'Daten 2022'!$A$3:$CC$78,59,0),(L30-L42)),0)))),0)</f>
        <v>0</v>
      </c>
    </row>
    <row r="48" spans="1:15" s="494" customFormat="1" ht="15" customHeight="1" thickBot="1" x14ac:dyDescent="0.25">
      <c r="A48" s="501"/>
      <c r="B48" s="501"/>
      <c r="D48" s="524" t="s">
        <v>394</v>
      </c>
      <c r="E48" s="469"/>
      <c r="F48" s="501"/>
      <c r="G48" s="509"/>
      <c r="I48" s="501"/>
      <c r="K48" s="501"/>
      <c r="L48" s="302">
        <v>0</v>
      </c>
      <c r="M48" s="501"/>
      <c r="N48" s="527" t="s">
        <v>244</v>
      </c>
    </row>
    <row r="49" spans="1:15" s="494" customFormat="1" ht="15" customHeight="1" x14ac:dyDescent="0.2">
      <c r="A49" s="501"/>
      <c r="B49" s="501"/>
      <c r="D49" s="469"/>
      <c r="E49" s="469"/>
      <c r="F49" s="501"/>
      <c r="G49" s="509"/>
      <c r="I49" s="501"/>
      <c r="K49" s="501"/>
      <c r="L49" s="509">
        <f>SUM(L46:L48)</f>
        <v>0</v>
      </c>
      <c r="M49" s="501"/>
      <c r="N49" s="528">
        <f>IF(L51&lt;0.7,MAX(0,IF(K42=1,N38,IF(K42=2,N39,IF(K42=3,N40,IF(K42=5,N41,0))))-(L42*0.7-L49)),IF(K42=1,N38,IF(K42=2,N39,IF(K42=3,N40,IF(K42=4,N41,0)))))</f>
        <v>0</v>
      </c>
      <c r="O49" s="467"/>
    </row>
    <row r="50" spans="1:15" s="494" customFormat="1" ht="6.75" customHeight="1" x14ac:dyDescent="0.2">
      <c r="A50" s="501"/>
      <c r="B50" s="501"/>
      <c r="C50" s="501"/>
      <c r="D50" s="501"/>
      <c r="E50" s="501"/>
      <c r="F50" s="501"/>
      <c r="G50" s="501"/>
      <c r="H50" s="501"/>
      <c r="I50" s="501"/>
      <c r="J50" s="501"/>
      <c r="K50" s="501"/>
      <c r="L50" s="501"/>
      <c r="M50" s="501"/>
    </row>
    <row r="51" spans="1:15" s="494" customFormat="1" ht="15" customHeight="1" x14ac:dyDescent="0.2">
      <c r="A51" s="501"/>
      <c r="B51" s="501"/>
      <c r="C51" s="524"/>
      <c r="D51" s="501" t="s">
        <v>938</v>
      </c>
      <c r="E51" s="501"/>
      <c r="F51" s="501"/>
      <c r="G51" s="501"/>
      <c r="I51" s="501"/>
      <c r="K51" s="501"/>
      <c r="L51" s="303" t="str">
        <f>IFERROR(L49/(L42),"keine Vorauszahlung")</f>
        <v>keine Vorauszahlung</v>
      </c>
      <c r="M51" s="501"/>
    </row>
    <row r="52" spans="1:15" s="494" customFormat="1" ht="9" customHeight="1" thickBot="1" x14ac:dyDescent="0.25">
      <c r="A52" s="501"/>
      <c r="B52" s="501"/>
      <c r="C52" s="524"/>
      <c r="D52" s="501"/>
      <c r="E52" s="501"/>
      <c r="F52" s="501"/>
      <c r="G52" s="501"/>
      <c r="I52" s="501"/>
      <c r="K52" s="501"/>
      <c r="L52" s="304"/>
      <c r="M52" s="501"/>
    </row>
    <row r="53" spans="1:15" s="467" customFormat="1" ht="15.75" customHeight="1" thickBot="1" x14ac:dyDescent="0.25">
      <c r="A53" s="524"/>
      <c r="B53" s="524"/>
      <c r="C53" s="524"/>
      <c r="D53" s="551" t="s">
        <v>589</v>
      </c>
      <c r="E53" s="552"/>
      <c r="F53" s="553"/>
      <c r="G53" s="554"/>
      <c r="H53" s="554"/>
      <c r="I53" s="554"/>
      <c r="J53" s="553"/>
      <c r="K53" s="552"/>
      <c r="L53" s="555">
        <f>IF(N33="40-40-20",N47,N49)</f>
        <v>0</v>
      </c>
      <c r="M53" s="524"/>
    </row>
    <row r="54" spans="1:15" s="467" customFormat="1" ht="9" customHeight="1" x14ac:dyDescent="0.2">
      <c r="A54" s="524"/>
      <c r="B54" s="524"/>
      <c r="C54" s="524"/>
      <c r="D54" s="524"/>
      <c r="E54" s="524"/>
      <c r="G54" s="483"/>
      <c r="H54" s="483"/>
      <c r="I54" s="483"/>
      <c r="K54" s="524"/>
      <c r="M54" s="524"/>
    </row>
    <row r="55" spans="1:15" s="39" customFormat="1" ht="15.75" x14ac:dyDescent="0.25">
      <c r="A55" s="463"/>
      <c r="B55" s="529" t="s">
        <v>393</v>
      </c>
      <c r="C55" s="530"/>
      <c r="D55" s="530"/>
      <c r="E55" s="531"/>
      <c r="F55" s="532"/>
      <c r="G55" s="532"/>
      <c r="H55" s="532"/>
      <c r="I55" s="531"/>
    </row>
    <row r="56" spans="1:15" s="39" customFormat="1" ht="6" customHeight="1" x14ac:dyDescent="0.2">
      <c r="A56" s="463"/>
      <c r="B56" s="533"/>
      <c r="C56" s="533"/>
      <c r="D56" s="533"/>
      <c r="E56" s="533"/>
      <c r="F56" s="533"/>
      <c r="G56" s="533"/>
      <c r="H56" s="533"/>
      <c r="I56" s="533"/>
      <c r="J56" s="375"/>
      <c r="K56" s="375"/>
    </row>
    <row r="57" spans="1:15" s="39" customFormat="1" ht="12.75" customHeight="1" x14ac:dyDescent="0.2">
      <c r="A57" s="463"/>
      <c r="B57" s="725" t="s">
        <v>508</v>
      </c>
      <c r="C57" s="725"/>
      <c r="D57" s="725"/>
      <c r="E57" s="725"/>
      <c r="F57" s="725"/>
      <c r="G57" s="725"/>
      <c r="H57" s="725"/>
      <c r="I57" s="725"/>
      <c r="J57" s="375"/>
      <c r="K57" s="375"/>
    </row>
    <row r="58" spans="1:15" s="39" customFormat="1" ht="9" customHeight="1" thickBot="1" x14ac:dyDescent="0.25">
      <c r="A58" s="461"/>
      <c r="B58" s="534"/>
      <c r="C58" s="535"/>
      <c r="D58" s="535"/>
      <c r="E58" s="535"/>
      <c r="F58" s="535"/>
      <c r="G58" s="535"/>
      <c r="H58" s="535"/>
      <c r="I58" s="535"/>
    </row>
    <row r="59" spans="1:15" ht="20.25" customHeight="1" x14ac:dyDescent="0.2">
      <c r="A59" s="463"/>
      <c r="B59" s="306" t="s">
        <v>392</v>
      </c>
      <c r="C59" s="744"/>
      <c r="D59" s="744"/>
      <c r="E59" s="744"/>
      <c r="F59" s="745"/>
      <c r="G59" s="307"/>
      <c r="H59" s="307"/>
      <c r="I59" s="307"/>
      <c r="M59" s="39"/>
    </row>
    <row r="60" spans="1:15" ht="26.25" customHeight="1" x14ac:dyDescent="0.2">
      <c r="A60" s="463"/>
      <c r="B60" s="308"/>
      <c r="C60" s="309"/>
      <c r="D60" s="309"/>
      <c r="E60" s="309"/>
      <c r="F60" s="310"/>
      <c r="G60" s="309"/>
      <c r="H60" s="309"/>
      <c r="I60" s="309"/>
      <c r="M60" s="39"/>
    </row>
    <row r="61" spans="1:15" ht="15" customHeight="1" x14ac:dyDescent="0.2">
      <c r="A61" s="463"/>
      <c r="B61" s="311"/>
      <c r="C61" s="312"/>
      <c r="D61" s="313"/>
      <c r="E61" s="313"/>
      <c r="F61" s="314"/>
      <c r="M61" s="39"/>
    </row>
    <row r="62" spans="1:15" ht="12.75" customHeight="1" x14ac:dyDescent="0.2">
      <c r="A62" s="463"/>
      <c r="B62" s="315" t="s">
        <v>140</v>
      </c>
      <c r="C62" s="316"/>
      <c r="D62" s="317"/>
      <c r="E62" s="317" t="s">
        <v>141</v>
      </c>
      <c r="F62" s="310"/>
      <c r="G62" s="318"/>
      <c r="I62" s="319"/>
      <c r="M62" s="39"/>
    </row>
    <row r="63" spans="1:15" ht="3" customHeight="1" x14ac:dyDescent="0.2">
      <c r="A63" s="463"/>
      <c r="B63" s="63"/>
      <c r="F63" s="310"/>
      <c r="I63" s="320"/>
      <c r="M63" s="39"/>
    </row>
    <row r="64" spans="1:15" ht="15.75" customHeight="1" thickBot="1" x14ac:dyDescent="0.25">
      <c r="A64" s="463"/>
      <c r="B64" s="321" t="s">
        <v>391</v>
      </c>
      <c r="C64" s="746"/>
      <c r="D64" s="746"/>
      <c r="E64" s="746"/>
      <c r="F64" s="747"/>
      <c r="G64" s="305"/>
      <c r="H64" s="305"/>
      <c r="I64" s="305"/>
      <c r="M64" s="39"/>
    </row>
    <row r="65" spans="1:16" ht="13.5" customHeight="1" x14ac:dyDescent="0.25">
      <c r="A65" s="463"/>
      <c r="B65" s="480"/>
      <c r="C65" s="545"/>
      <c r="D65" s="545"/>
      <c r="E65" s="546"/>
      <c r="F65" s="546"/>
      <c r="G65" s="547"/>
      <c r="H65" s="547"/>
      <c r="I65" s="548"/>
      <c r="J65" s="39"/>
      <c r="K65" s="39"/>
      <c r="L65" s="39"/>
      <c r="M65" s="39"/>
    </row>
    <row r="66" spans="1:16" s="300" customFormat="1" ht="6" customHeight="1" x14ac:dyDescent="0.2">
      <c r="A66" s="465"/>
      <c r="B66" s="469"/>
      <c r="C66" s="469"/>
      <c r="D66" s="469"/>
      <c r="E66" s="469"/>
      <c r="F66" s="470"/>
      <c r="G66" s="470"/>
      <c r="H66" s="470"/>
      <c r="I66" s="470"/>
      <c r="J66" s="470"/>
      <c r="K66" s="470"/>
      <c r="L66" s="470"/>
      <c r="M66" s="470"/>
    </row>
    <row r="67" spans="1:16" ht="15.75" x14ac:dyDescent="0.25">
      <c r="A67" s="463"/>
      <c r="B67" s="529" t="s">
        <v>590</v>
      </c>
      <c r="C67" s="530"/>
      <c r="D67" s="530"/>
      <c r="E67" s="531"/>
      <c r="F67" s="532"/>
      <c r="G67" s="532"/>
      <c r="H67" s="532"/>
      <c r="I67" s="532"/>
      <c r="J67" s="532"/>
      <c r="K67" s="532"/>
      <c r="L67" s="531"/>
      <c r="M67" s="39"/>
    </row>
    <row r="68" spans="1:16" ht="6" customHeight="1" x14ac:dyDescent="0.2">
      <c r="A68" s="463"/>
      <c r="B68" s="661" t="s">
        <v>1049</v>
      </c>
      <c r="C68" s="661"/>
      <c r="D68" s="661"/>
      <c r="E68" s="661"/>
      <c r="F68" s="661"/>
      <c r="G68" s="661"/>
      <c r="H68" s="661"/>
      <c r="I68" s="661"/>
      <c r="J68" s="661"/>
      <c r="K68" s="661"/>
      <c r="L68" s="661"/>
      <c r="M68" s="536"/>
    </row>
    <row r="69" spans="1:16" ht="12.75" customHeight="1" x14ac:dyDescent="0.2">
      <c r="A69" s="463"/>
      <c r="B69" s="725"/>
      <c r="C69" s="725"/>
      <c r="D69" s="725"/>
      <c r="E69" s="725"/>
      <c r="F69" s="725"/>
      <c r="G69" s="725"/>
      <c r="H69" s="725"/>
      <c r="I69" s="725"/>
      <c r="J69" s="725"/>
      <c r="K69" s="725"/>
      <c r="L69" s="725"/>
      <c r="M69" s="536"/>
    </row>
    <row r="70" spans="1:16" ht="15.75" customHeight="1" x14ac:dyDescent="0.2">
      <c r="A70" s="463"/>
      <c r="B70" s="725"/>
      <c r="C70" s="725"/>
      <c r="D70" s="725"/>
      <c r="E70" s="725"/>
      <c r="F70" s="725"/>
      <c r="G70" s="725"/>
      <c r="H70" s="725"/>
      <c r="I70" s="725"/>
      <c r="J70" s="725"/>
      <c r="K70" s="725"/>
      <c r="L70" s="725"/>
      <c r="M70" s="536"/>
    </row>
    <row r="71" spans="1:16" ht="13.5" customHeight="1" x14ac:dyDescent="0.2">
      <c r="A71" s="461"/>
      <c r="B71" s="725"/>
      <c r="C71" s="725"/>
      <c r="D71" s="725"/>
      <c r="E71" s="725"/>
      <c r="F71" s="725"/>
      <c r="G71" s="725"/>
      <c r="H71" s="725"/>
      <c r="I71" s="725"/>
      <c r="J71" s="725"/>
      <c r="K71" s="725"/>
      <c r="L71" s="725"/>
      <c r="M71" s="536"/>
    </row>
    <row r="72" spans="1:16" ht="6.75" customHeight="1" thickBot="1" x14ac:dyDescent="0.25">
      <c r="A72" s="463"/>
      <c r="B72" s="299"/>
      <c r="C72" s="299"/>
      <c r="D72" s="299"/>
      <c r="E72" s="299"/>
      <c r="F72" s="299"/>
      <c r="G72" s="299"/>
      <c r="H72" s="299"/>
      <c r="I72" s="299"/>
      <c r="J72" s="299"/>
      <c r="K72" s="299"/>
      <c r="L72" s="299"/>
      <c r="M72" s="39"/>
    </row>
    <row r="73" spans="1:16" ht="4.5" customHeight="1" x14ac:dyDescent="0.2">
      <c r="A73" s="463"/>
      <c r="B73" s="748"/>
      <c r="C73" s="749"/>
      <c r="D73" s="749"/>
      <c r="E73" s="749"/>
      <c r="F73" s="749"/>
      <c r="G73" s="749"/>
      <c r="H73" s="749"/>
      <c r="I73" s="749"/>
      <c r="J73" s="749"/>
      <c r="K73" s="749"/>
      <c r="L73" s="750"/>
      <c r="M73" s="537"/>
    </row>
    <row r="74" spans="1:16" ht="26.25" customHeight="1" x14ac:dyDescent="0.2">
      <c r="A74" s="463"/>
      <c r="B74" s="308"/>
      <c r="C74" s="309"/>
      <c r="D74" s="309"/>
      <c r="E74" s="309"/>
      <c r="F74" s="540"/>
      <c r="G74" s="39"/>
      <c r="H74" s="39"/>
      <c r="I74" s="538"/>
      <c r="J74" s="538"/>
      <c r="K74" s="538"/>
      <c r="L74" s="541"/>
      <c r="M74" s="538"/>
      <c r="N74" s="39"/>
      <c r="O74" s="39"/>
      <c r="P74" s="39"/>
    </row>
    <row r="75" spans="1:16" ht="15" customHeight="1" x14ac:dyDescent="0.2">
      <c r="A75" s="463"/>
      <c r="B75" s="334"/>
      <c r="C75" s="312"/>
      <c r="D75" s="313"/>
      <c r="E75" s="322"/>
      <c r="F75" s="377"/>
      <c r="G75" s="39"/>
      <c r="H75" s="39"/>
      <c r="I75" s="39"/>
      <c r="J75" s="39"/>
      <c r="K75" s="39"/>
      <c r="L75" s="542"/>
      <c r="M75" s="39"/>
      <c r="N75" s="39"/>
      <c r="O75" s="39"/>
      <c r="P75" s="39"/>
    </row>
    <row r="76" spans="1:16" ht="12.75" customHeight="1" x14ac:dyDescent="0.2">
      <c r="A76" s="463"/>
      <c r="B76" s="315" t="s">
        <v>140</v>
      </c>
      <c r="C76" s="751" t="s">
        <v>141</v>
      </c>
      <c r="D76" s="751"/>
      <c r="E76" s="752"/>
      <c r="F76" s="543" t="str">
        <f>IF(VLOOKUP('Dateneingabe Mobilitäten'!C1,'Daten 2022'!$A$2:$CC$79,8,0)="","","Datum")</f>
        <v/>
      </c>
      <c r="G76" s="753" t="str">
        <f>IF(VLOOKUP('Dateneingabe Mobilitäten'!C1,'Daten 2022'!$A$2:$CC$79,8,0)="","","Unterschrift")</f>
        <v/>
      </c>
      <c r="H76" s="754"/>
      <c r="I76" s="754"/>
      <c r="J76" s="754"/>
      <c r="K76" s="754"/>
      <c r="L76" s="755"/>
      <c r="M76" s="537"/>
      <c r="N76" s="39"/>
      <c r="O76" s="39"/>
      <c r="P76" s="39"/>
    </row>
    <row r="77" spans="1:16" ht="6" customHeight="1" x14ac:dyDescent="0.2">
      <c r="A77" s="463"/>
      <c r="B77" s="63"/>
      <c r="E77" s="323"/>
      <c r="F77" s="736"/>
      <c r="G77" s="737"/>
      <c r="H77" s="737"/>
      <c r="I77" s="737"/>
      <c r="J77" s="737"/>
      <c r="K77" s="537"/>
      <c r="L77" s="544"/>
      <c r="M77" s="539"/>
      <c r="N77" s="39"/>
      <c r="O77" s="39"/>
      <c r="P77" s="39"/>
    </row>
    <row r="78" spans="1:16" ht="15" customHeight="1" thickBot="1" x14ac:dyDescent="0.25">
      <c r="A78" s="463"/>
      <c r="B78" s="738" t="str">
        <f>IF(VLOOKUP('Dateneingabe Mobilitäten'!C1,'Daten 2022'!$A$2:$CC$79,6,0)="","",VLOOKUP('Dateneingabe Mobilitäten'!C1,'Daten 2022'!$A$2:$CC$79,6,0))</f>
        <v/>
      </c>
      <c r="C78" s="739"/>
      <c r="D78" s="739"/>
      <c r="E78" s="740"/>
      <c r="F78" s="741" t="str">
        <f>IF(VLOOKUP('Dateneingabe Mobilitäten'!C1,'Daten 2022'!$A$2:$CC$79,8,0)="","",VLOOKUP('Dateneingabe Mobilitäten'!C1,'Daten 2022'!$A$2:$CC$79,8,0))</f>
        <v/>
      </c>
      <c r="G78" s="742"/>
      <c r="H78" s="742"/>
      <c r="I78" s="742"/>
      <c r="J78" s="742"/>
      <c r="K78" s="742"/>
      <c r="L78" s="743"/>
      <c r="M78" s="536"/>
      <c r="N78" s="39"/>
      <c r="O78" s="39"/>
      <c r="P78" s="39"/>
    </row>
    <row r="79" spans="1:16" x14ac:dyDescent="0.2">
      <c r="A79" s="39"/>
      <c r="F79" s="39"/>
      <c r="G79" s="39"/>
      <c r="H79" s="39"/>
      <c r="I79" s="39"/>
      <c r="J79" s="39"/>
      <c r="K79" s="39"/>
      <c r="L79" s="39"/>
      <c r="M79" s="39"/>
      <c r="N79" s="39"/>
      <c r="O79" s="39"/>
      <c r="P79" s="39"/>
    </row>
    <row r="80" spans="1:16" x14ac:dyDescent="0.2">
      <c r="A80" s="39"/>
      <c r="B80" s="556" t="str">
        <f>Steuerung!U4</f>
        <v>Ben_InRe1-KA131_Call2022_v2022-10-14_frei_mgr</v>
      </c>
      <c r="F80" s="39"/>
      <c r="G80" s="39"/>
      <c r="H80" s="39"/>
      <c r="I80" s="39"/>
      <c r="J80" s="39"/>
      <c r="K80" s="39"/>
      <c r="L80" s="39"/>
      <c r="M80" s="39"/>
      <c r="N80" s="39"/>
      <c r="O80" s="39"/>
      <c r="P80" s="39"/>
    </row>
    <row r="81" spans="13:13" x14ac:dyDescent="0.2">
      <c r="M81" s="39"/>
    </row>
    <row r="82" spans="13:13" x14ac:dyDescent="0.2">
      <c r="M82" s="39"/>
    </row>
    <row r="83" spans="13:13" x14ac:dyDescent="0.2">
      <c r="M83" s="39"/>
    </row>
    <row r="84" spans="13:13" x14ac:dyDescent="0.2">
      <c r="M84" s="39"/>
    </row>
  </sheetData>
  <sheetProtection algorithmName="SHA-512" hashValue="xQeGA7+FzlnZ8bXnZh0IbjMjblFKpQeNEBZufj+HIgY4ocewWmzpOGQXgRYSbCcDeOT/Dz+iCf8xZ6HFnjlWuQ==" saltValue="V/WGgMKZijA046XUJ4bFCw==" spinCount="100000" sheet="1" selectLockedCells="1"/>
  <mergeCells count="39">
    <mergeCell ref="F77:J77"/>
    <mergeCell ref="B78:E78"/>
    <mergeCell ref="F78:L78"/>
    <mergeCell ref="C59:F59"/>
    <mergeCell ref="C64:F64"/>
    <mergeCell ref="B68:L71"/>
    <mergeCell ref="B73:L73"/>
    <mergeCell ref="C76:E76"/>
    <mergeCell ref="G76:L76"/>
    <mergeCell ref="B57:I57"/>
    <mergeCell ref="B2:L2"/>
    <mergeCell ref="B4:E4"/>
    <mergeCell ref="F4:L4"/>
    <mergeCell ref="B5:E5"/>
    <mergeCell ref="F5:L5"/>
    <mergeCell ref="F6:L6"/>
    <mergeCell ref="I8:J8"/>
    <mergeCell ref="E10:F10"/>
    <mergeCell ref="J10:L10"/>
    <mergeCell ref="E33:H33"/>
    <mergeCell ref="I33:J33"/>
    <mergeCell ref="K12:L12"/>
    <mergeCell ref="K13:L13"/>
    <mergeCell ref="K14:L14"/>
    <mergeCell ref="K15:L15"/>
    <mergeCell ref="K29:L29"/>
    <mergeCell ref="K28:L28"/>
    <mergeCell ref="K24:L24"/>
    <mergeCell ref="K25:L25"/>
    <mergeCell ref="K26:L26"/>
    <mergeCell ref="K27:L27"/>
    <mergeCell ref="K16:L16"/>
    <mergeCell ref="K18:L18"/>
    <mergeCell ref="K21:L21"/>
    <mergeCell ref="K22:L22"/>
    <mergeCell ref="K23:L23"/>
    <mergeCell ref="K17:L17"/>
    <mergeCell ref="K19:L19"/>
    <mergeCell ref="K20:L20"/>
  </mergeCells>
  <conditionalFormatting sqref="F75">
    <cfRule type="expression" dxfId="149" priority="1">
      <formula>$F$78&lt;&gt;""</formula>
    </cfRule>
  </conditionalFormatting>
  <dataValidations count="3">
    <dataValidation allowBlank="1" sqref="I67:M67 B3:E3 B66:H67 A66:A71 B55:J55 J58 B65:F65 A55:A58 B72:H72" xr:uid="{7CB0CB39-6CA1-4343-83F8-ED76C703DEC4}"/>
    <dataValidation type="date" allowBlank="1" showInputMessage="1" showErrorMessage="1" sqref="I33:J33 I8:J8" xr:uid="{2B4FBF20-B7F9-45BC-BF98-9658F6BBC760}">
      <formula1>44501</formula1>
      <formula2>44988</formula2>
    </dataValidation>
    <dataValidation type="list" allowBlank="1" showInputMessage="1" showErrorMessage="1" sqref="K38:K41" xr:uid="{0D78A022-E7E8-4953-B12A-5BBA0E495269}">
      <formula1>"' ,X"</formula1>
    </dataValidation>
  </dataValidations>
  <printOptions horizontalCentered="1"/>
  <pageMargins left="0.23622047244094491" right="0.27559055118110237" top="0.15748031496062992" bottom="0.5" header="0.15748031496062992" footer="0.49"/>
  <pageSetup paperSize="9" scale="72" orientation="portrait" r:id="rId1"/>
  <headerFooter alignWithMargins="0">
    <oddFooter>&amp;R&amp;"-,Standard"&amp;9gedruckt am: &amp;D</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37790-BA54-497A-A783-F324CCD011E9}">
  <dimension ref="A1:G31"/>
  <sheetViews>
    <sheetView workbookViewId="0"/>
  </sheetViews>
  <sheetFormatPr baseColWidth="10" defaultRowHeight="12.75" x14ac:dyDescent="0.2"/>
  <sheetData>
    <row r="1" spans="1:5" x14ac:dyDescent="0.2">
      <c r="C1" s="29" t="s">
        <v>355</v>
      </c>
      <c r="D1" s="29" t="s">
        <v>114</v>
      </c>
    </row>
    <row r="2" spans="1:5" x14ac:dyDescent="0.2">
      <c r="C2" s="29"/>
      <c r="D2" s="29"/>
    </row>
    <row r="3" spans="1:5" x14ac:dyDescent="0.2">
      <c r="A3" s="29" t="s">
        <v>352</v>
      </c>
    </row>
    <row r="4" spans="1:5" x14ac:dyDescent="0.2">
      <c r="B4" s="29" t="str">
        <f>B17</f>
        <v>SMS</v>
      </c>
      <c r="C4">
        <f>'Dateneingabe Mobilitäten'!F4</f>
        <v>0</v>
      </c>
    </row>
    <row r="5" spans="1:5" x14ac:dyDescent="0.2">
      <c r="B5" s="29" t="str">
        <f>B18</f>
        <v>SMT</v>
      </c>
      <c r="C5">
        <f>'Dateneingabe Mobilitäten'!F9</f>
        <v>0</v>
      </c>
    </row>
    <row r="6" spans="1:5" x14ac:dyDescent="0.2">
      <c r="B6" s="29" t="str">
        <f>B19</f>
        <v>STA</v>
      </c>
      <c r="C6">
        <f>'Dateneingabe Mobilitäten'!F19</f>
        <v>0</v>
      </c>
    </row>
    <row r="7" spans="1:5" x14ac:dyDescent="0.2">
      <c r="B7" s="29" t="str">
        <f>B20</f>
        <v>STT</v>
      </c>
      <c r="C7">
        <f>'Dateneingabe Mobilitäten'!F24</f>
        <v>0</v>
      </c>
    </row>
    <row r="8" spans="1:5" x14ac:dyDescent="0.2">
      <c r="C8" s="32">
        <f>SUM(C4:C7)</f>
        <v>0</v>
      </c>
    </row>
    <row r="10" spans="1:5" x14ac:dyDescent="0.2">
      <c r="A10" s="29" t="str">
        <f>A27</f>
        <v>OS Mob&lt;100</v>
      </c>
      <c r="B10">
        <f>B27</f>
        <v>400</v>
      </c>
      <c r="C10">
        <f>IF(C8&lt;=100,C8,100)</f>
        <v>0</v>
      </c>
      <c r="D10" s="33">
        <f>B10*C10</f>
        <v>0</v>
      </c>
    </row>
    <row r="11" spans="1:5" x14ac:dyDescent="0.2">
      <c r="A11" s="29" t="str">
        <f>A28</f>
        <v>OS Mob&gt;100</v>
      </c>
      <c r="B11">
        <f>B28</f>
        <v>230</v>
      </c>
      <c r="C11">
        <f>IF(C8&gt;100,C8-100,0)</f>
        <v>0</v>
      </c>
      <c r="D11" s="33">
        <f>B11*C11</f>
        <v>0</v>
      </c>
    </row>
    <row r="12" spans="1:5" x14ac:dyDescent="0.2">
      <c r="C12">
        <f>SUM(C10:C11)</f>
        <v>0</v>
      </c>
      <c r="D12" s="33">
        <f>SUM(D10:D11)</f>
        <v>0</v>
      </c>
      <c r="E12" s="34">
        <f>'Dateneingabe Mobilitäten'!F43</f>
        <v>0</v>
      </c>
    </row>
    <row r="13" spans="1:5" x14ac:dyDescent="0.2">
      <c r="D13" s="33">
        <f>D30</f>
        <v>0</v>
      </c>
    </row>
    <row r="14" spans="1:5" x14ac:dyDescent="0.2">
      <c r="B14" s="29" t="str">
        <f>B31</f>
        <v>OS</v>
      </c>
      <c r="C14">
        <f>C12</f>
        <v>0</v>
      </c>
      <c r="D14" s="33">
        <f>D12</f>
        <v>0</v>
      </c>
    </row>
    <row r="16" spans="1:5" x14ac:dyDescent="0.2">
      <c r="A16" s="29" t="s">
        <v>356</v>
      </c>
    </row>
    <row r="17" spans="1:7" x14ac:dyDescent="0.2">
      <c r="B17" s="29" t="s">
        <v>349</v>
      </c>
      <c r="C17">
        <f>'Dateneingabe Mobilitäten'!I4</f>
        <v>0</v>
      </c>
    </row>
    <row r="18" spans="1:7" x14ac:dyDescent="0.2">
      <c r="B18" s="29" t="s">
        <v>351</v>
      </c>
      <c r="C18">
        <f>'Dateneingabe Mobilitäten'!I9</f>
        <v>0</v>
      </c>
    </row>
    <row r="19" spans="1:7" x14ac:dyDescent="0.2">
      <c r="B19" s="29" t="s">
        <v>3</v>
      </c>
      <c r="C19">
        <f>'Dateneingabe Mobilitäten'!I19</f>
        <v>0</v>
      </c>
    </row>
    <row r="20" spans="1:7" x14ac:dyDescent="0.2">
      <c r="B20" s="29" t="s">
        <v>4</v>
      </c>
      <c r="C20">
        <f>'Dateneingabe Mobilitäten'!I24</f>
        <v>0</v>
      </c>
    </row>
    <row r="21" spans="1:7" x14ac:dyDescent="0.2">
      <c r="C21" s="32">
        <f>SUM(C17:C20)</f>
        <v>0</v>
      </c>
    </row>
    <row r="22" spans="1:7" x14ac:dyDescent="0.2">
      <c r="C22" s="32"/>
    </row>
    <row r="23" spans="1:7" x14ac:dyDescent="0.2">
      <c r="A23" s="29" t="s">
        <v>357</v>
      </c>
      <c r="C23" s="35">
        <f>C14*0.9</f>
        <v>0</v>
      </c>
    </row>
    <row r="24" spans="1:7" x14ac:dyDescent="0.2">
      <c r="C24" s="32"/>
    </row>
    <row r="25" spans="1:7" x14ac:dyDescent="0.2">
      <c r="A25" s="29" t="s">
        <v>358</v>
      </c>
      <c r="C25" s="32">
        <f>IF(C21&lt;C23,C21,C14)</f>
        <v>0</v>
      </c>
      <c r="E25" s="573" t="s">
        <v>1036</v>
      </c>
      <c r="F25" s="32">
        <f>IF(C21&lt;C23,C21,IF(C21&lt;=C8,C8,C21))</f>
        <v>0</v>
      </c>
    </row>
    <row r="27" spans="1:7" x14ac:dyDescent="0.2">
      <c r="A27" s="29" t="s">
        <v>922</v>
      </c>
      <c r="B27">
        <f>VLOOKUP(A27,OS_Betraege[#All],2,0)</f>
        <v>400</v>
      </c>
      <c r="C27">
        <f>IF(C25&lt;=100,C25,100)</f>
        <v>0</v>
      </c>
      <c r="D27" s="33">
        <f>$B$27*C27</f>
        <v>0</v>
      </c>
      <c r="F27">
        <f>IF(F25&lt;=100,F25,100)</f>
        <v>0</v>
      </c>
      <c r="G27" s="33">
        <f>$B$27*F27</f>
        <v>0</v>
      </c>
    </row>
    <row r="28" spans="1:7" x14ac:dyDescent="0.2">
      <c r="A28" s="29" t="s">
        <v>923</v>
      </c>
      <c r="B28">
        <f>VLOOKUP(A28,OS_Betraege[#All],2,0)</f>
        <v>230</v>
      </c>
      <c r="C28">
        <f>IF(C25&gt;100,C25-100,0)</f>
        <v>0</v>
      </c>
      <c r="D28" s="33">
        <f>$B$28*C28</f>
        <v>0</v>
      </c>
      <c r="F28">
        <f>IF(F25&gt;100,F25-100,0)</f>
        <v>0</v>
      </c>
      <c r="G28" s="33">
        <f>$B$28*F28</f>
        <v>0</v>
      </c>
    </row>
    <row r="29" spans="1:7" x14ac:dyDescent="0.2">
      <c r="C29">
        <f>SUM(C27:C28)</f>
        <v>0</v>
      </c>
      <c r="D29" s="33">
        <f>SUM(D27:D28)</f>
        <v>0</v>
      </c>
      <c r="F29">
        <f>SUM(F27:F28)</f>
        <v>0</v>
      </c>
      <c r="G29" s="33">
        <f>SUM(G27:G28)</f>
        <v>0</v>
      </c>
    </row>
    <row r="30" spans="1:7" x14ac:dyDescent="0.2">
      <c r="D30" s="33"/>
    </row>
    <row r="31" spans="1:7" x14ac:dyDescent="0.2">
      <c r="B31" s="29" t="s">
        <v>354</v>
      </c>
      <c r="D31" s="33">
        <f>SUM(D27:D28)</f>
        <v>0</v>
      </c>
      <c r="G31" s="33">
        <f>SUM(G27:G28)</f>
        <v>0</v>
      </c>
    </row>
  </sheetData>
  <sheetProtection algorithmName="SHA-512" hashValue="oigQq/hMXxHD3ce2+1drj0ZUXZwxAOZKAE2GEs/3Cxm+TI2xHMVg8Upz2mh7to7m84xSRo6xXmHmEqIDc3dQjw==" saltValue="s5NlM7ki7OniKXbVZtFOvA==" spinCount="100000" sheet="1" objects="1" scenarios="1"/>
  <pageMargins left="0.7" right="0.7" top="0.78740157499999996" bottom="0.78740157499999996"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0AD8E-8CD6-415B-A28A-6E48CDE575FA}">
  <dimension ref="A1:CD95"/>
  <sheetViews>
    <sheetView workbookViewId="0">
      <selection activeCell="A2" sqref="A2"/>
    </sheetView>
  </sheetViews>
  <sheetFormatPr baseColWidth="10" defaultColWidth="11.42578125" defaultRowHeight="15" x14ac:dyDescent="0.25"/>
  <cols>
    <col min="1" max="1" width="34.28515625" style="20" bestFit="1" customWidth="1"/>
    <col min="2" max="2" width="121" style="20" hidden="1" customWidth="1"/>
    <col min="3" max="3" width="10" style="24" hidden="1" customWidth="1"/>
    <col min="4" max="4" width="32.42578125" style="20" hidden="1" customWidth="1"/>
    <col min="5" max="5" width="10.7109375" style="20" hidden="1" customWidth="1"/>
    <col min="6" max="6" width="25.42578125" style="23" hidden="1" customWidth="1"/>
    <col min="7" max="7" width="27.42578125" style="23" hidden="1" customWidth="1"/>
    <col min="8" max="8" width="23" style="23" hidden="1" customWidth="1"/>
    <col min="9" max="9" width="28.42578125" style="23" hidden="1" customWidth="1"/>
    <col min="10" max="10" width="12.28515625" style="20" hidden="1" customWidth="1"/>
    <col min="11" max="11" width="8.85546875" style="20" hidden="1" customWidth="1"/>
    <col min="12" max="12" width="13.140625" style="20" hidden="1" customWidth="1"/>
    <col min="13" max="13" width="12.28515625" style="20" hidden="1" customWidth="1"/>
    <col min="14" max="14" width="8.85546875" style="20" hidden="1" customWidth="1"/>
    <col min="15" max="16" width="11.7109375" style="20" hidden="1" customWidth="1"/>
    <col min="17" max="17" width="8.28515625" style="20" hidden="1" customWidth="1"/>
    <col min="18" max="18" width="11.140625" style="20" hidden="1" customWidth="1"/>
    <col min="19" max="19" width="11.42578125" style="20" hidden="1" customWidth="1"/>
    <col min="20" max="20" width="8" style="20" hidden="1" customWidth="1"/>
    <col min="21" max="21" width="10.85546875" style="20" hidden="1" customWidth="1"/>
    <col min="22" max="22" width="13.85546875" style="23" hidden="1" customWidth="1"/>
    <col min="23" max="23" width="13.7109375" style="23" hidden="1" customWidth="1"/>
    <col min="24" max="24" width="13.85546875" style="23" hidden="1" customWidth="1"/>
    <col min="25" max="25" width="13.7109375" style="23" hidden="1" customWidth="1"/>
    <col min="26" max="26" width="13.85546875" style="23" hidden="1" customWidth="1"/>
    <col min="27" max="27" width="13.7109375" style="23" hidden="1" customWidth="1"/>
    <col min="28" max="28" width="13.85546875" style="23" hidden="1" customWidth="1"/>
    <col min="29" max="29" width="13.7109375" style="23" hidden="1" customWidth="1"/>
    <col min="30" max="30" width="13.85546875" style="23" hidden="1" customWidth="1"/>
    <col min="31" max="31" width="13.7109375" style="23" hidden="1" customWidth="1"/>
    <col min="32" max="32" width="18.7109375" style="23" hidden="1" customWidth="1"/>
    <col min="33" max="33" width="18.5703125" style="23" hidden="1" customWidth="1"/>
    <col min="34" max="34" width="11.28515625" style="23" hidden="1" customWidth="1"/>
    <col min="35" max="35" width="11.5703125" style="23" hidden="1" customWidth="1"/>
    <col min="36" max="36" width="16.5703125" style="23" hidden="1" customWidth="1"/>
    <col min="37" max="37" width="16" style="23" hidden="1" customWidth="1"/>
    <col min="38" max="38" width="15.85546875" style="23" hidden="1" customWidth="1"/>
    <col min="39" max="39" width="15.28515625" style="23" hidden="1" customWidth="1"/>
    <col min="40" max="40" width="19.5703125" style="23" hidden="1" customWidth="1"/>
    <col min="41" max="41" width="10.85546875" style="21" hidden="1" customWidth="1"/>
    <col min="42" max="42" width="12.85546875" style="21" hidden="1" customWidth="1"/>
    <col min="43" max="43" width="17.5703125" style="21" hidden="1" customWidth="1"/>
    <col min="44" max="44" width="13.5703125" style="21" hidden="1" customWidth="1"/>
    <col min="45" max="45" width="16.85546875" style="21" hidden="1" customWidth="1"/>
    <col min="46" max="46" width="21.28515625" style="21" hidden="1" customWidth="1"/>
    <col min="47" max="47" width="13.140625" style="21" hidden="1" customWidth="1"/>
    <col min="48" max="48" width="13.42578125" style="25" hidden="1" customWidth="1"/>
    <col min="49" max="49" width="38.42578125" style="25" hidden="1" customWidth="1"/>
    <col min="50" max="50" width="20.28515625" style="25" hidden="1" customWidth="1"/>
    <col min="51" max="51" width="13.140625" style="25" hidden="1" customWidth="1"/>
    <col min="52" max="52" width="11.5703125" style="25" hidden="1" customWidth="1"/>
    <col min="53" max="53" width="13.140625" style="25" hidden="1" customWidth="1"/>
    <col min="54" max="54" width="10.5703125" style="25" hidden="1" customWidth="1"/>
    <col min="55" max="55" width="14.7109375" style="25" hidden="1" customWidth="1"/>
    <col min="56" max="56" width="11" style="25" hidden="1" customWidth="1"/>
    <col min="57" max="57" width="8" style="25" hidden="1" customWidth="1"/>
    <col min="58" max="58" width="10.140625" style="25" hidden="1" customWidth="1"/>
    <col min="59" max="59" width="8" style="25" hidden="1" customWidth="1"/>
    <col min="60" max="60" width="10.140625" style="25" hidden="1" customWidth="1"/>
    <col min="61" max="61" width="8" style="25" hidden="1" customWidth="1"/>
    <col min="62" max="62" width="10.140625" style="25" hidden="1" customWidth="1"/>
    <col min="63" max="63" width="8" style="25" hidden="1" customWidth="1"/>
    <col min="64" max="64" width="10.140625" style="20" hidden="1" customWidth="1"/>
    <col min="65" max="65" width="8" style="26" hidden="1" customWidth="1"/>
    <col min="66" max="66" width="10.140625" style="26" hidden="1" customWidth="1"/>
    <col min="67" max="67" width="8" style="26" hidden="1" customWidth="1"/>
    <col min="68" max="68" width="10.140625" style="26" hidden="1" customWidth="1"/>
    <col min="69" max="69" width="9" style="26" hidden="1" customWidth="1"/>
    <col min="70" max="70" width="11.140625" style="20" hidden="1" customWidth="1"/>
    <col min="71" max="71" width="8.85546875" style="20" hidden="1" customWidth="1"/>
    <col min="72" max="72" width="9" style="20" hidden="1" customWidth="1"/>
    <col min="73" max="73" width="8" style="20" hidden="1" customWidth="1"/>
    <col min="74" max="74" width="10.140625" style="20" hidden="1" customWidth="1"/>
    <col min="75" max="75" width="13.140625" style="20" hidden="1" customWidth="1"/>
    <col min="76" max="76" width="39.5703125" style="20" hidden="1" customWidth="1"/>
    <col min="77" max="77" width="17.140625" style="20" hidden="1" customWidth="1"/>
    <col min="78" max="78" width="20.140625" style="20" hidden="1" customWidth="1"/>
    <col min="79" max="79" width="21.140625" style="20" hidden="1" customWidth="1"/>
    <col min="80" max="80" width="15.5703125" style="20" hidden="1" customWidth="1"/>
    <col min="81" max="81" width="10.7109375" style="20" hidden="1" customWidth="1"/>
    <col min="82" max="82" width="8.7109375" style="20" customWidth="1"/>
    <col min="83" max="16384" width="11.42578125" style="20"/>
  </cols>
  <sheetData>
    <row r="1" spans="1:81" x14ac:dyDescent="0.25">
      <c r="A1" s="285" t="s">
        <v>219</v>
      </c>
      <c r="B1" s="285" t="s">
        <v>220</v>
      </c>
      <c r="C1" s="285" t="s">
        <v>260</v>
      </c>
      <c r="D1" s="285" t="s">
        <v>81</v>
      </c>
      <c r="E1" s="285" t="s">
        <v>341</v>
      </c>
      <c r="F1" s="285" t="s">
        <v>264</v>
      </c>
      <c r="G1" s="285" t="s">
        <v>265</v>
      </c>
      <c r="H1" s="285" t="s">
        <v>266</v>
      </c>
      <c r="I1" s="285" t="s">
        <v>330</v>
      </c>
      <c r="J1" s="285" t="s">
        <v>221</v>
      </c>
      <c r="K1" s="285" t="s">
        <v>689</v>
      </c>
      <c r="L1" s="285" t="s">
        <v>693</v>
      </c>
      <c r="M1" s="285" t="s">
        <v>223</v>
      </c>
      <c r="N1" s="285" t="s">
        <v>690</v>
      </c>
      <c r="O1" s="285" t="s">
        <v>694</v>
      </c>
      <c r="P1" s="285" t="s">
        <v>225</v>
      </c>
      <c r="Q1" s="285" t="s">
        <v>226</v>
      </c>
      <c r="R1" s="285" t="s">
        <v>695</v>
      </c>
      <c r="S1" s="285" t="s">
        <v>228</v>
      </c>
      <c r="T1" s="285" t="s">
        <v>229</v>
      </c>
      <c r="U1" s="285" t="s">
        <v>696</v>
      </c>
      <c r="V1" s="285" t="s">
        <v>905</v>
      </c>
      <c r="W1" s="285" t="s">
        <v>698</v>
      </c>
      <c r="X1" s="285" t="s">
        <v>906</v>
      </c>
      <c r="Y1" s="285" t="s">
        <v>700</v>
      </c>
      <c r="Z1" s="285" t="s">
        <v>907</v>
      </c>
      <c r="AA1" s="285" t="s">
        <v>702</v>
      </c>
      <c r="AB1" s="285" t="s">
        <v>908</v>
      </c>
      <c r="AC1" s="285" t="s">
        <v>704</v>
      </c>
      <c r="AD1" s="285" t="s">
        <v>909</v>
      </c>
      <c r="AE1" s="285" t="s">
        <v>706</v>
      </c>
      <c r="AF1" s="285" t="s">
        <v>910</v>
      </c>
      <c r="AG1" s="285" t="s">
        <v>708</v>
      </c>
      <c r="AH1" s="285" t="s">
        <v>709</v>
      </c>
      <c r="AI1" s="285" t="s">
        <v>710</v>
      </c>
      <c r="AJ1" s="285" t="s">
        <v>711</v>
      </c>
      <c r="AK1" s="285" t="s">
        <v>712</v>
      </c>
      <c r="AL1" s="285" t="s">
        <v>713</v>
      </c>
      <c r="AM1" s="285" t="s">
        <v>714</v>
      </c>
      <c r="AN1" s="285" t="s">
        <v>715</v>
      </c>
      <c r="AO1" s="410" t="s">
        <v>232</v>
      </c>
      <c r="AP1" s="410" t="s">
        <v>716</v>
      </c>
      <c r="AQ1" s="287" t="s">
        <v>717</v>
      </c>
      <c r="AR1" s="287" t="s">
        <v>718</v>
      </c>
      <c r="AS1" s="287" t="s">
        <v>719</v>
      </c>
      <c r="AT1" s="286" t="s">
        <v>720</v>
      </c>
      <c r="AU1" s="286" t="s">
        <v>721</v>
      </c>
      <c r="AV1" s="286" t="s">
        <v>234</v>
      </c>
      <c r="AW1" s="288" t="s">
        <v>722</v>
      </c>
      <c r="AX1" s="288" t="s">
        <v>723</v>
      </c>
      <c r="AY1" s="287" t="s">
        <v>553</v>
      </c>
      <c r="AZ1" s="287" t="s">
        <v>554</v>
      </c>
      <c r="BA1" s="287" t="s">
        <v>555</v>
      </c>
      <c r="BB1" s="287" t="s">
        <v>556</v>
      </c>
      <c r="BC1" s="287" t="s">
        <v>724</v>
      </c>
      <c r="BD1" s="287" t="s">
        <v>558</v>
      </c>
      <c r="BE1" s="287" t="s">
        <v>559</v>
      </c>
      <c r="BF1" s="287" t="s">
        <v>560</v>
      </c>
      <c r="BG1" s="287" t="s">
        <v>561</v>
      </c>
      <c r="BH1" s="287" t="s">
        <v>562</v>
      </c>
      <c r="BI1" s="287" t="s">
        <v>563</v>
      </c>
      <c r="BJ1" s="287" t="s">
        <v>564</v>
      </c>
      <c r="BK1" s="287" t="s">
        <v>565</v>
      </c>
      <c r="BL1" s="287" t="s">
        <v>566</v>
      </c>
      <c r="BM1" s="287" t="s">
        <v>567</v>
      </c>
      <c r="BN1" s="287" t="s">
        <v>568</v>
      </c>
      <c r="BO1" s="287" t="s">
        <v>569</v>
      </c>
      <c r="BP1" s="287" t="s">
        <v>570</v>
      </c>
      <c r="BQ1" s="287" t="s">
        <v>571</v>
      </c>
      <c r="BR1" s="287" t="s">
        <v>572</v>
      </c>
      <c r="BS1" s="287" t="s">
        <v>525</v>
      </c>
      <c r="BT1" s="287" t="s">
        <v>573</v>
      </c>
      <c r="BU1" s="287" t="s">
        <v>526</v>
      </c>
      <c r="BV1" s="287" t="s">
        <v>574</v>
      </c>
      <c r="BW1" s="287" t="s">
        <v>575</v>
      </c>
      <c r="BX1" s="289" t="s">
        <v>725</v>
      </c>
      <c r="BY1" s="289" t="s">
        <v>726</v>
      </c>
      <c r="BZ1" s="289" t="s">
        <v>727</v>
      </c>
      <c r="CA1" s="289" t="s">
        <v>728</v>
      </c>
      <c r="CB1" s="289" t="s">
        <v>729</v>
      </c>
      <c r="CC1" s="289" t="s">
        <v>735</v>
      </c>
    </row>
    <row r="2" spans="1:81" x14ac:dyDescent="0.25">
      <c r="A2" s="329" t="s">
        <v>407</v>
      </c>
      <c r="B2" s="329"/>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329"/>
      <c r="AK2" s="329"/>
      <c r="AL2" s="329"/>
      <c r="AM2" s="329"/>
      <c r="AN2" s="329"/>
      <c r="AO2" s="329"/>
      <c r="AP2" s="329"/>
      <c r="AQ2" s="330"/>
      <c r="AR2" s="330"/>
      <c r="AS2" s="422"/>
      <c r="AT2" s="329">
        <v>0</v>
      </c>
      <c r="AU2" s="329">
        <v>0</v>
      </c>
      <c r="AV2" s="329"/>
      <c r="AW2" s="439">
        <v>0</v>
      </c>
      <c r="AX2" s="439"/>
      <c r="AY2" s="330"/>
      <c r="AZ2" s="330"/>
      <c r="BA2" s="330"/>
      <c r="BB2" s="330"/>
      <c r="BC2" s="330"/>
      <c r="BD2" s="330"/>
      <c r="BE2" s="330"/>
      <c r="BF2" s="330"/>
      <c r="BG2" s="330"/>
      <c r="BH2" s="330"/>
      <c r="BI2" s="330"/>
      <c r="BJ2" s="330"/>
      <c r="BK2" s="330"/>
      <c r="BL2" s="330"/>
      <c r="BM2" s="330"/>
      <c r="BN2" s="330"/>
      <c r="BO2" s="330"/>
      <c r="BP2" s="330"/>
      <c r="BQ2" s="330"/>
      <c r="BR2" s="330"/>
      <c r="BS2" s="330"/>
      <c r="BT2" s="330"/>
      <c r="BU2" s="330"/>
      <c r="BV2" s="330"/>
      <c r="BW2" s="330"/>
      <c r="BX2" s="440"/>
      <c r="BY2" s="440"/>
      <c r="BZ2" s="440"/>
      <c r="CA2" s="440"/>
      <c r="CB2" s="329"/>
      <c r="CC2" s="329"/>
    </row>
    <row r="3" spans="1:81" x14ac:dyDescent="0.25">
      <c r="A3" s="329" t="s">
        <v>15</v>
      </c>
      <c r="B3" s="329" t="s">
        <v>82</v>
      </c>
      <c r="C3" s="329" t="s">
        <v>142</v>
      </c>
      <c r="D3" s="329" t="s">
        <v>736</v>
      </c>
      <c r="E3" s="329" t="s">
        <v>737</v>
      </c>
      <c r="F3" s="329" t="s">
        <v>267</v>
      </c>
      <c r="G3" s="329"/>
      <c r="H3" s="329"/>
      <c r="I3" s="329"/>
      <c r="J3" s="20">
        <v>0</v>
      </c>
      <c r="K3" s="20">
        <v>0</v>
      </c>
      <c r="L3" s="415"/>
      <c r="M3" s="20">
        <v>0</v>
      </c>
      <c r="N3" s="20">
        <v>0</v>
      </c>
      <c r="O3" s="415"/>
      <c r="P3" s="20">
        <v>4</v>
      </c>
      <c r="Q3" s="20">
        <v>20</v>
      </c>
      <c r="R3" s="415">
        <v>3440</v>
      </c>
      <c r="S3" s="20">
        <v>8</v>
      </c>
      <c r="T3" s="20">
        <v>40</v>
      </c>
      <c r="U3" s="415">
        <v>6880</v>
      </c>
      <c r="V3" s="20"/>
      <c r="W3" s="585"/>
      <c r="X3" s="20"/>
      <c r="Y3" s="585"/>
      <c r="Z3" s="20"/>
      <c r="AA3" s="585"/>
      <c r="AB3" s="20"/>
      <c r="AC3" s="585"/>
      <c r="AD3" s="20"/>
      <c r="AE3" s="585"/>
      <c r="AF3" s="586"/>
      <c r="AG3" s="585"/>
      <c r="AH3" s="586"/>
      <c r="AI3" s="585"/>
      <c r="AJ3" s="20"/>
      <c r="AK3" s="20"/>
      <c r="AL3" s="20"/>
      <c r="AM3" s="20"/>
      <c r="AN3" s="20"/>
      <c r="AO3" s="423">
        <v>12</v>
      </c>
      <c r="AP3" s="415">
        <v>4800</v>
      </c>
      <c r="AQ3" s="415">
        <v>15120</v>
      </c>
      <c r="AR3" s="20">
        <v>1</v>
      </c>
      <c r="AS3" s="20">
        <v>0</v>
      </c>
      <c r="AT3" s="415"/>
      <c r="AU3" s="415">
        <v>15120</v>
      </c>
      <c r="AV3" s="20" t="s">
        <v>244</v>
      </c>
      <c r="AW3" s="424">
        <v>0</v>
      </c>
      <c r="AX3" s="424">
        <v>15120</v>
      </c>
      <c r="AY3" s="294">
        <v>12096</v>
      </c>
      <c r="AZ3" s="425" t="s">
        <v>576</v>
      </c>
      <c r="BA3" s="294">
        <v>3024</v>
      </c>
      <c r="BB3" s="426"/>
      <c r="BC3" s="427"/>
      <c r="BD3" s="331"/>
      <c r="BE3" s="427"/>
      <c r="BF3" s="331"/>
      <c r="BG3" s="427"/>
      <c r="BH3" s="428"/>
      <c r="BI3" s="427"/>
      <c r="BJ3" s="428"/>
      <c r="BK3" s="427"/>
      <c r="BL3" s="428"/>
      <c r="BM3" s="427"/>
      <c r="BN3" s="428"/>
      <c r="BO3" s="427"/>
      <c r="BP3" s="428"/>
      <c r="BQ3" s="427"/>
      <c r="BR3" s="428"/>
      <c r="BS3" s="427"/>
      <c r="BT3" s="428"/>
      <c r="BU3" s="427"/>
      <c r="BV3" s="428"/>
      <c r="BW3" s="330">
        <v>12096</v>
      </c>
      <c r="BX3" s="429">
        <v>12096</v>
      </c>
      <c r="BY3" s="430">
        <v>1</v>
      </c>
      <c r="BZ3" s="430" t="s">
        <v>555</v>
      </c>
      <c r="CA3" s="430">
        <v>3024</v>
      </c>
      <c r="CB3" s="20">
        <v>0</v>
      </c>
      <c r="CC3" s="329"/>
    </row>
    <row r="4" spans="1:81" x14ac:dyDescent="0.25">
      <c r="A4" s="329" t="s">
        <v>16</v>
      </c>
      <c r="B4" s="329" t="s">
        <v>83</v>
      </c>
      <c r="C4" s="329" t="s">
        <v>143</v>
      </c>
      <c r="D4" s="329" t="s">
        <v>738</v>
      </c>
      <c r="E4" s="329" t="s">
        <v>739</v>
      </c>
      <c r="F4" s="329" t="s">
        <v>268</v>
      </c>
      <c r="G4" s="329"/>
      <c r="H4" s="329"/>
      <c r="I4" s="329"/>
      <c r="J4" s="20">
        <v>123</v>
      </c>
      <c r="K4" s="20">
        <v>16375</v>
      </c>
      <c r="L4" s="415">
        <v>254025</v>
      </c>
      <c r="M4" s="20">
        <v>14</v>
      </c>
      <c r="N4" s="20">
        <v>1694</v>
      </c>
      <c r="O4" s="415">
        <v>33592.019999999997</v>
      </c>
      <c r="P4" s="20">
        <v>22</v>
      </c>
      <c r="Q4" s="20">
        <v>110</v>
      </c>
      <c r="R4" s="415">
        <v>18920</v>
      </c>
      <c r="S4" s="20">
        <v>4</v>
      </c>
      <c r="T4" s="20">
        <v>20</v>
      </c>
      <c r="U4" s="415">
        <v>3440</v>
      </c>
      <c r="V4" s="20">
        <v>1</v>
      </c>
      <c r="W4" s="585">
        <v>6000</v>
      </c>
      <c r="X4" s="20"/>
      <c r="Y4" s="585"/>
      <c r="Z4" s="20"/>
      <c r="AA4" s="585"/>
      <c r="AB4" s="20"/>
      <c r="AC4" s="585"/>
      <c r="AD4" s="20"/>
      <c r="AE4" s="585"/>
      <c r="AF4" s="586"/>
      <c r="AG4" s="585"/>
      <c r="AH4" s="586">
        <v>15</v>
      </c>
      <c r="AI4" s="585">
        <v>6000</v>
      </c>
      <c r="AJ4" s="20"/>
      <c r="AK4" s="20"/>
      <c r="AL4" s="20"/>
      <c r="AM4" s="20"/>
      <c r="AN4" s="20"/>
      <c r="AO4" s="423">
        <v>163</v>
      </c>
      <c r="AP4" s="415">
        <v>54490</v>
      </c>
      <c r="AQ4" s="415">
        <v>370467.02</v>
      </c>
      <c r="AR4" s="20">
        <v>1</v>
      </c>
      <c r="AS4" s="20">
        <v>0</v>
      </c>
      <c r="AT4" s="415"/>
      <c r="AU4" s="415">
        <v>370467.02</v>
      </c>
      <c r="AV4" s="20" t="s">
        <v>244</v>
      </c>
      <c r="AW4" s="424">
        <v>0</v>
      </c>
      <c r="AX4" s="424">
        <v>370467.02</v>
      </c>
      <c r="AY4" s="294">
        <v>296373.62</v>
      </c>
      <c r="AZ4" s="425" t="s">
        <v>576</v>
      </c>
      <c r="BA4" s="294">
        <v>74093.400000000023</v>
      </c>
      <c r="BB4" s="426"/>
      <c r="BC4" s="332"/>
      <c r="BD4" s="331"/>
      <c r="BE4" s="332"/>
      <c r="BF4" s="421"/>
      <c r="BG4" s="332"/>
      <c r="BH4" s="428"/>
      <c r="BI4" s="332"/>
      <c r="BJ4" s="431"/>
      <c r="BK4" s="332"/>
      <c r="BL4" s="431"/>
      <c r="BM4" s="332"/>
      <c r="BN4" s="431"/>
      <c r="BO4" s="332"/>
      <c r="BP4" s="431"/>
      <c r="BQ4" s="332"/>
      <c r="BR4" s="431"/>
      <c r="BS4" s="332"/>
      <c r="BT4" s="431"/>
      <c r="BU4" s="332"/>
      <c r="BV4" s="431"/>
      <c r="BW4" s="330">
        <v>296373.62</v>
      </c>
      <c r="BX4" s="429">
        <v>296373.62</v>
      </c>
      <c r="BY4" s="430">
        <v>1</v>
      </c>
      <c r="BZ4" s="430" t="s">
        <v>555</v>
      </c>
      <c r="CA4" s="430">
        <v>74093.400000000023</v>
      </c>
      <c r="CB4" s="20">
        <v>0</v>
      </c>
      <c r="CC4" s="329"/>
    </row>
    <row r="5" spans="1:81" x14ac:dyDescent="0.25">
      <c r="A5" s="329" t="s">
        <v>17</v>
      </c>
      <c r="B5" s="329" t="s">
        <v>84</v>
      </c>
      <c r="C5" s="329" t="s">
        <v>144</v>
      </c>
      <c r="D5" s="329" t="s">
        <v>740</v>
      </c>
      <c r="E5" s="329" t="s">
        <v>741</v>
      </c>
      <c r="F5" s="329" t="s">
        <v>269</v>
      </c>
      <c r="G5" s="329"/>
      <c r="H5" s="329"/>
      <c r="I5" s="329"/>
      <c r="J5" s="20">
        <v>4</v>
      </c>
      <c r="K5" s="20">
        <v>564</v>
      </c>
      <c r="L5" s="415">
        <v>8460</v>
      </c>
      <c r="M5" s="20">
        <v>1</v>
      </c>
      <c r="N5" s="20">
        <v>121</v>
      </c>
      <c r="O5" s="415">
        <v>2399.4299999999998</v>
      </c>
      <c r="P5" s="20">
        <v>3</v>
      </c>
      <c r="Q5" s="20">
        <v>15</v>
      </c>
      <c r="R5" s="415">
        <v>2580</v>
      </c>
      <c r="S5" s="20">
        <v>6</v>
      </c>
      <c r="T5" s="20">
        <v>30</v>
      </c>
      <c r="U5" s="415">
        <v>5160</v>
      </c>
      <c r="V5" s="20">
        <v>1</v>
      </c>
      <c r="W5" s="585">
        <v>6000</v>
      </c>
      <c r="X5" s="20"/>
      <c r="Y5" s="585"/>
      <c r="Z5" s="20"/>
      <c r="AA5" s="585"/>
      <c r="AB5" s="20"/>
      <c r="AC5" s="585"/>
      <c r="AD5" s="20"/>
      <c r="AE5" s="585"/>
      <c r="AF5" s="586"/>
      <c r="AG5" s="585"/>
      <c r="AH5" s="586">
        <v>15</v>
      </c>
      <c r="AI5" s="585">
        <v>6000</v>
      </c>
      <c r="AJ5" s="20"/>
      <c r="AK5" s="20"/>
      <c r="AL5" s="20"/>
      <c r="AM5" s="20"/>
      <c r="AN5" s="20"/>
      <c r="AO5" s="423">
        <v>14</v>
      </c>
      <c r="AP5" s="415">
        <v>5600</v>
      </c>
      <c r="AQ5" s="415">
        <v>30199.43</v>
      </c>
      <c r="AR5" s="20">
        <v>1</v>
      </c>
      <c r="AS5" s="20">
        <v>0</v>
      </c>
      <c r="AT5" s="415"/>
      <c r="AU5" s="415">
        <v>30199.43</v>
      </c>
      <c r="AV5" s="20" t="s">
        <v>244</v>
      </c>
      <c r="AW5" s="424">
        <v>0</v>
      </c>
      <c r="AX5" s="424">
        <v>30199.43</v>
      </c>
      <c r="AY5" s="294">
        <v>24159.54</v>
      </c>
      <c r="AZ5" s="425" t="s">
        <v>576</v>
      </c>
      <c r="BA5" s="294">
        <v>6039.8899999999994</v>
      </c>
      <c r="BB5" s="426"/>
      <c r="BC5" s="332"/>
      <c r="BD5" s="432"/>
      <c r="BE5" s="332"/>
      <c r="BF5" s="421"/>
      <c r="BG5" s="332"/>
      <c r="BH5" s="428"/>
      <c r="BI5" s="332"/>
      <c r="BJ5" s="431"/>
      <c r="BK5" s="332"/>
      <c r="BL5" s="431"/>
      <c r="BM5" s="332"/>
      <c r="BN5" s="431"/>
      <c r="BO5" s="332"/>
      <c r="BP5" s="431"/>
      <c r="BQ5" s="332"/>
      <c r="BR5" s="431"/>
      <c r="BS5" s="332"/>
      <c r="BT5" s="431"/>
      <c r="BU5" s="332"/>
      <c r="BV5" s="431"/>
      <c r="BW5" s="330">
        <v>24159.54</v>
      </c>
      <c r="BX5" s="429">
        <v>24159.54</v>
      </c>
      <c r="BY5" s="430">
        <v>1</v>
      </c>
      <c r="BZ5" s="430" t="s">
        <v>555</v>
      </c>
      <c r="CA5" s="430">
        <v>6039.8899999999994</v>
      </c>
      <c r="CB5" s="20">
        <v>0</v>
      </c>
      <c r="CC5" s="329"/>
    </row>
    <row r="6" spans="1:81" x14ac:dyDescent="0.25">
      <c r="A6" s="329" t="s">
        <v>18</v>
      </c>
      <c r="B6" s="329" t="s">
        <v>116</v>
      </c>
      <c r="C6" s="329" t="s">
        <v>145</v>
      </c>
      <c r="D6" s="329" t="s">
        <v>742</v>
      </c>
      <c r="E6" s="329" t="s">
        <v>743</v>
      </c>
      <c r="F6" s="329" t="s">
        <v>270</v>
      </c>
      <c r="G6" s="329"/>
      <c r="H6" s="329"/>
      <c r="I6" s="329"/>
      <c r="J6" s="20">
        <v>39</v>
      </c>
      <c r="K6" s="20">
        <v>5257</v>
      </c>
      <c r="L6" s="415">
        <v>80955</v>
      </c>
      <c r="M6" s="20">
        <v>15</v>
      </c>
      <c r="N6" s="20">
        <v>1714</v>
      </c>
      <c r="O6" s="415">
        <v>34942.019999999997</v>
      </c>
      <c r="P6" s="20">
        <v>8</v>
      </c>
      <c r="Q6" s="20">
        <v>40</v>
      </c>
      <c r="R6" s="415">
        <v>6880</v>
      </c>
      <c r="S6" s="20">
        <v>8</v>
      </c>
      <c r="T6" s="20">
        <v>40</v>
      </c>
      <c r="U6" s="415">
        <v>6880</v>
      </c>
      <c r="V6" s="20"/>
      <c r="W6" s="585"/>
      <c r="X6" s="20"/>
      <c r="Y6" s="585"/>
      <c r="Z6" s="20"/>
      <c r="AA6" s="585"/>
      <c r="AB6" s="20"/>
      <c r="AC6" s="585"/>
      <c r="AD6" s="20"/>
      <c r="AE6" s="585"/>
      <c r="AF6" s="586"/>
      <c r="AG6" s="585"/>
      <c r="AH6" s="586"/>
      <c r="AI6" s="585"/>
      <c r="AJ6" s="20"/>
      <c r="AK6" s="20"/>
      <c r="AL6" s="20"/>
      <c r="AM6" s="20"/>
      <c r="AN6" s="20"/>
      <c r="AO6" s="423">
        <v>70</v>
      </c>
      <c r="AP6" s="415">
        <v>28000</v>
      </c>
      <c r="AQ6" s="415">
        <v>157657.01999999999</v>
      </c>
      <c r="AR6" s="20">
        <v>1</v>
      </c>
      <c r="AS6" s="20">
        <v>0</v>
      </c>
      <c r="AT6" s="415"/>
      <c r="AU6" s="415">
        <v>157657.01999999999</v>
      </c>
      <c r="AV6" s="20" t="s">
        <v>244</v>
      </c>
      <c r="AW6" s="424">
        <v>0</v>
      </c>
      <c r="AX6" s="424">
        <v>157657.01999999999</v>
      </c>
      <c r="AY6" s="294">
        <v>126125.62</v>
      </c>
      <c r="AZ6" s="425" t="s">
        <v>576</v>
      </c>
      <c r="BA6" s="294">
        <v>31531.399999999994</v>
      </c>
      <c r="BB6" s="426"/>
      <c r="BC6" s="332"/>
      <c r="BD6" s="331"/>
      <c r="BE6" s="332"/>
      <c r="BF6" s="421"/>
      <c r="BG6" s="332"/>
      <c r="BH6" s="428"/>
      <c r="BI6" s="332"/>
      <c r="BJ6" s="431"/>
      <c r="BK6" s="332"/>
      <c r="BL6" s="431"/>
      <c r="BM6" s="332"/>
      <c r="BN6" s="431"/>
      <c r="BO6" s="332"/>
      <c r="BP6" s="431"/>
      <c r="BQ6" s="332"/>
      <c r="BR6" s="431"/>
      <c r="BS6" s="332"/>
      <c r="BT6" s="431"/>
      <c r="BU6" s="332"/>
      <c r="BV6" s="431"/>
      <c r="BW6" s="330">
        <v>126125.62</v>
      </c>
      <c r="BX6" s="429">
        <v>126125.62</v>
      </c>
      <c r="BY6" s="430">
        <v>1</v>
      </c>
      <c r="BZ6" s="430" t="s">
        <v>555</v>
      </c>
      <c r="CA6" s="430">
        <v>31531.399999999994</v>
      </c>
      <c r="CB6" s="20">
        <v>0</v>
      </c>
      <c r="CC6" s="329"/>
    </row>
    <row r="7" spans="1:81" x14ac:dyDescent="0.25">
      <c r="A7" s="329" t="s">
        <v>19</v>
      </c>
      <c r="B7" s="329" t="s">
        <v>246</v>
      </c>
      <c r="C7" s="329" t="s">
        <v>146</v>
      </c>
      <c r="D7" s="329" t="s">
        <v>744</v>
      </c>
      <c r="E7" s="329" t="s">
        <v>745</v>
      </c>
      <c r="F7" s="329" t="s">
        <v>271</v>
      </c>
      <c r="G7" s="329"/>
      <c r="H7" s="329"/>
      <c r="I7" s="329"/>
      <c r="J7" s="20">
        <v>4</v>
      </c>
      <c r="K7" s="20">
        <v>564</v>
      </c>
      <c r="L7" s="415">
        <v>8460</v>
      </c>
      <c r="M7" s="20">
        <v>0</v>
      </c>
      <c r="N7" s="20">
        <v>0</v>
      </c>
      <c r="O7" s="415"/>
      <c r="P7" s="20">
        <v>7</v>
      </c>
      <c r="Q7" s="20">
        <v>35</v>
      </c>
      <c r="R7" s="415">
        <v>6020</v>
      </c>
      <c r="S7" s="20">
        <v>4</v>
      </c>
      <c r="T7" s="20">
        <v>20</v>
      </c>
      <c r="U7" s="415">
        <v>3440</v>
      </c>
      <c r="V7" s="20"/>
      <c r="W7" s="585"/>
      <c r="X7" s="20"/>
      <c r="Y7" s="585"/>
      <c r="Z7" s="20"/>
      <c r="AA7" s="585"/>
      <c r="AB7" s="20"/>
      <c r="AC7" s="585"/>
      <c r="AD7" s="20"/>
      <c r="AE7" s="585"/>
      <c r="AF7" s="586"/>
      <c r="AG7" s="585"/>
      <c r="AH7" s="586"/>
      <c r="AI7" s="585"/>
      <c r="AJ7" s="20"/>
      <c r="AK7" s="20"/>
      <c r="AL7" s="20"/>
      <c r="AM7" s="20"/>
      <c r="AN7" s="20"/>
      <c r="AO7" s="423">
        <v>15</v>
      </c>
      <c r="AP7" s="415">
        <v>6000</v>
      </c>
      <c r="AQ7" s="415">
        <v>23920</v>
      </c>
      <c r="AR7" s="20">
        <v>1</v>
      </c>
      <c r="AS7" s="20">
        <v>0</v>
      </c>
      <c r="AT7" s="415"/>
      <c r="AU7" s="415">
        <v>23920</v>
      </c>
      <c r="AV7" s="20" t="s">
        <v>244</v>
      </c>
      <c r="AW7" s="424">
        <v>0</v>
      </c>
      <c r="AX7" s="424">
        <v>23920</v>
      </c>
      <c r="AY7" s="294">
        <v>19136</v>
      </c>
      <c r="AZ7" s="425" t="s">
        <v>576</v>
      </c>
      <c r="BA7" s="294">
        <v>4784</v>
      </c>
      <c r="BB7" s="426"/>
      <c r="BC7" s="332"/>
      <c r="BD7" s="331"/>
      <c r="BE7" s="332"/>
      <c r="BF7" s="421"/>
      <c r="BG7" s="332"/>
      <c r="BH7" s="428"/>
      <c r="BI7" s="332"/>
      <c r="BJ7" s="431"/>
      <c r="BK7" s="332"/>
      <c r="BL7" s="431"/>
      <c r="BM7" s="332"/>
      <c r="BN7" s="431"/>
      <c r="BO7" s="332"/>
      <c r="BP7" s="431"/>
      <c r="BQ7" s="332"/>
      <c r="BR7" s="431"/>
      <c r="BS7" s="332"/>
      <c r="BT7" s="431"/>
      <c r="BU7" s="332"/>
      <c r="BV7" s="431"/>
      <c r="BW7" s="330">
        <v>19136</v>
      </c>
      <c r="BX7" s="429">
        <v>19136</v>
      </c>
      <c r="BY7" s="430">
        <v>1</v>
      </c>
      <c r="BZ7" s="430" t="s">
        <v>555</v>
      </c>
      <c r="CA7" s="430">
        <v>4784</v>
      </c>
      <c r="CB7" s="20">
        <v>0</v>
      </c>
      <c r="CC7" s="329"/>
    </row>
    <row r="8" spans="1:81" x14ac:dyDescent="0.25">
      <c r="A8" s="329" t="s">
        <v>20</v>
      </c>
      <c r="B8" s="329" t="s">
        <v>8</v>
      </c>
      <c r="C8" s="329" t="s">
        <v>147</v>
      </c>
      <c r="D8" s="329" t="s">
        <v>746</v>
      </c>
      <c r="E8" s="329" t="s">
        <v>747</v>
      </c>
      <c r="F8" s="329" t="s">
        <v>272</v>
      </c>
      <c r="G8" s="329"/>
      <c r="H8" s="329"/>
      <c r="I8" s="329"/>
      <c r="J8" s="20">
        <v>0</v>
      </c>
      <c r="K8" s="20">
        <v>0</v>
      </c>
      <c r="L8" s="415"/>
      <c r="M8" s="20">
        <v>0</v>
      </c>
      <c r="N8" s="20">
        <v>0</v>
      </c>
      <c r="O8" s="415"/>
      <c r="P8" s="20">
        <v>4</v>
      </c>
      <c r="Q8" s="20">
        <v>20</v>
      </c>
      <c r="R8" s="415">
        <v>3440</v>
      </c>
      <c r="S8" s="20">
        <v>4</v>
      </c>
      <c r="T8" s="20">
        <v>20</v>
      </c>
      <c r="U8" s="415">
        <v>3440</v>
      </c>
      <c r="V8" s="20"/>
      <c r="W8" s="585"/>
      <c r="X8" s="20"/>
      <c r="Y8" s="585"/>
      <c r="Z8" s="20"/>
      <c r="AA8" s="585"/>
      <c r="AB8" s="20"/>
      <c r="AC8" s="585"/>
      <c r="AD8" s="20"/>
      <c r="AE8" s="585"/>
      <c r="AF8" s="586"/>
      <c r="AG8" s="585"/>
      <c r="AH8" s="586"/>
      <c r="AI8" s="585"/>
      <c r="AJ8" s="20"/>
      <c r="AK8" s="20"/>
      <c r="AL8" s="20"/>
      <c r="AM8" s="20"/>
      <c r="AN8" s="20"/>
      <c r="AO8" s="423">
        <v>8</v>
      </c>
      <c r="AP8" s="415">
        <v>3200</v>
      </c>
      <c r="AQ8" s="415">
        <v>10080</v>
      </c>
      <c r="AR8" s="20">
        <v>1</v>
      </c>
      <c r="AS8" s="20">
        <v>0</v>
      </c>
      <c r="AT8" s="415"/>
      <c r="AU8" s="415">
        <v>10080</v>
      </c>
      <c r="AV8" s="20" t="s">
        <v>244</v>
      </c>
      <c r="AW8" s="424">
        <v>0</v>
      </c>
      <c r="AX8" s="424">
        <v>10080</v>
      </c>
      <c r="AY8" s="294">
        <v>8064</v>
      </c>
      <c r="AZ8" s="425" t="s">
        <v>576</v>
      </c>
      <c r="BA8" s="294">
        <v>2016</v>
      </c>
      <c r="BB8" s="426"/>
      <c r="BC8" s="332"/>
      <c r="BD8" s="331"/>
      <c r="BE8" s="332"/>
      <c r="BF8" s="421"/>
      <c r="BG8" s="332"/>
      <c r="BH8" s="428"/>
      <c r="BI8" s="332"/>
      <c r="BJ8" s="431"/>
      <c r="BK8" s="332"/>
      <c r="BL8" s="431"/>
      <c r="BM8" s="332"/>
      <c r="BN8" s="431"/>
      <c r="BO8" s="332"/>
      <c r="BP8" s="431"/>
      <c r="BQ8" s="332"/>
      <c r="BR8" s="431"/>
      <c r="BS8" s="332"/>
      <c r="BT8" s="431"/>
      <c r="BU8" s="332"/>
      <c r="BV8" s="431"/>
      <c r="BW8" s="330">
        <v>8064</v>
      </c>
      <c r="BX8" s="429">
        <v>8064</v>
      </c>
      <c r="BY8" s="430">
        <v>1</v>
      </c>
      <c r="BZ8" s="430" t="s">
        <v>555</v>
      </c>
      <c r="CA8" s="430">
        <v>2016</v>
      </c>
      <c r="CB8" s="20">
        <v>0</v>
      </c>
      <c r="CC8" s="329"/>
    </row>
    <row r="9" spans="1:81" x14ac:dyDescent="0.25">
      <c r="A9" s="329" t="s">
        <v>132</v>
      </c>
      <c r="B9" s="329" t="s">
        <v>1048</v>
      </c>
      <c r="C9" s="329" t="s">
        <v>148</v>
      </c>
      <c r="D9" s="329" t="s">
        <v>748</v>
      </c>
      <c r="E9" s="329" t="s">
        <v>749</v>
      </c>
      <c r="F9" s="329" t="s">
        <v>888</v>
      </c>
      <c r="G9" s="329"/>
      <c r="H9" s="329"/>
      <c r="I9" s="329"/>
      <c r="J9" s="20">
        <v>2</v>
      </c>
      <c r="K9" s="20">
        <v>282</v>
      </c>
      <c r="L9" s="415">
        <v>4230</v>
      </c>
      <c r="M9" s="20">
        <v>2</v>
      </c>
      <c r="N9" s="20">
        <v>242</v>
      </c>
      <c r="O9" s="415">
        <v>4798.8599999999997</v>
      </c>
      <c r="P9" s="20">
        <v>5</v>
      </c>
      <c r="Q9" s="20">
        <v>25</v>
      </c>
      <c r="R9" s="415">
        <v>4300</v>
      </c>
      <c r="S9" s="20">
        <v>2</v>
      </c>
      <c r="T9" s="20">
        <v>10</v>
      </c>
      <c r="U9" s="415">
        <v>1720</v>
      </c>
      <c r="V9" s="20"/>
      <c r="W9" s="585"/>
      <c r="X9" s="20"/>
      <c r="Y9" s="585"/>
      <c r="Z9" s="20"/>
      <c r="AA9" s="585"/>
      <c r="AB9" s="20"/>
      <c r="AC9" s="585"/>
      <c r="AD9" s="20"/>
      <c r="AE9" s="585"/>
      <c r="AF9" s="586"/>
      <c r="AG9" s="585"/>
      <c r="AH9" s="586"/>
      <c r="AI9" s="585"/>
      <c r="AJ9" s="20"/>
      <c r="AK9" s="20"/>
      <c r="AL9" s="20"/>
      <c r="AM9" s="20"/>
      <c r="AN9" s="20"/>
      <c r="AO9" s="423">
        <v>11</v>
      </c>
      <c r="AP9" s="415">
        <v>4400</v>
      </c>
      <c r="AQ9" s="415">
        <v>19448.86</v>
      </c>
      <c r="AR9" s="20">
        <v>1</v>
      </c>
      <c r="AS9" s="20">
        <v>0</v>
      </c>
      <c r="AT9" s="415"/>
      <c r="AU9" s="415">
        <v>19448.86</v>
      </c>
      <c r="AV9" s="20" t="s">
        <v>244</v>
      </c>
      <c r="AW9" s="424">
        <v>0</v>
      </c>
      <c r="AX9" s="424">
        <v>19448.86</v>
      </c>
      <c r="AY9" s="294">
        <v>15559.09</v>
      </c>
      <c r="AZ9" s="425" t="s">
        <v>576</v>
      </c>
      <c r="BA9" s="294">
        <v>3889.7700000000004</v>
      </c>
      <c r="BB9" s="426"/>
      <c r="BC9" s="427"/>
      <c r="BD9" s="331"/>
      <c r="BE9" s="332"/>
      <c r="BF9" s="421"/>
      <c r="BG9" s="332"/>
      <c r="BH9" s="428"/>
      <c r="BI9" s="332"/>
      <c r="BJ9" s="431"/>
      <c r="BK9" s="332"/>
      <c r="BL9" s="431"/>
      <c r="BM9" s="332"/>
      <c r="BN9" s="431"/>
      <c r="BO9" s="332"/>
      <c r="BP9" s="431"/>
      <c r="BQ9" s="332"/>
      <c r="BR9" s="431"/>
      <c r="BS9" s="332"/>
      <c r="BT9" s="431"/>
      <c r="BU9" s="332"/>
      <c r="BV9" s="431"/>
      <c r="BW9" s="330">
        <v>15559.09</v>
      </c>
      <c r="BX9" s="429">
        <v>15559.09</v>
      </c>
      <c r="BY9" s="430">
        <v>1</v>
      </c>
      <c r="BZ9" s="430" t="s">
        <v>555</v>
      </c>
      <c r="CA9" s="430">
        <v>3889.7700000000004</v>
      </c>
      <c r="CB9" s="20">
        <v>0</v>
      </c>
      <c r="CC9" s="329"/>
    </row>
    <row r="10" spans="1:81" x14ac:dyDescent="0.25">
      <c r="A10" s="329" t="s">
        <v>21</v>
      </c>
      <c r="B10" s="329" t="s">
        <v>85</v>
      </c>
      <c r="C10" s="329" t="s">
        <v>149</v>
      </c>
      <c r="D10" s="329" t="s">
        <v>750</v>
      </c>
      <c r="E10" s="329" t="s">
        <v>751</v>
      </c>
      <c r="F10" s="329" t="s">
        <v>273</v>
      </c>
      <c r="G10" s="329"/>
      <c r="H10" s="329"/>
      <c r="I10" s="329"/>
      <c r="J10" s="20">
        <v>252</v>
      </c>
      <c r="K10" s="20">
        <v>33475</v>
      </c>
      <c r="L10" s="415">
        <v>519975</v>
      </c>
      <c r="M10" s="20">
        <v>87</v>
      </c>
      <c r="N10" s="20">
        <v>9921</v>
      </c>
      <c r="O10" s="415">
        <v>202453.83</v>
      </c>
      <c r="P10" s="20">
        <v>38</v>
      </c>
      <c r="Q10" s="20">
        <v>190</v>
      </c>
      <c r="R10" s="415">
        <v>32680</v>
      </c>
      <c r="S10" s="20">
        <v>23</v>
      </c>
      <c r="T10" s="20">
        <v>115</v>
      </c>
      <c r="U10" s="415">
        <v>19780</v>
      </c>
      <c r="V10" s="20"/>
      <c r="W10" s="585"/>
      <c r="X10" s="20"/>
      <c r="Y10" s="585"/>
      <c r="Z10" s="585"/>
      <c r="AA10" s="585"/>
      <c r="AB10" s="20"/>
      <c r="AC10" s="585"/>
      <c r="AD10" s="20"/>
      <c r="AE10" s="585"/>
      <c r="AF10" s="586">
        <v>1</v>
      </c>
      <c r="AG10" s="585">
        <v>8000</v>
      </c>
      <c r="AH10" s="586">
        <v>20</v>
      </c>
      <c r="AI10" s="585">
        <v>8000</v>
      </c>
      <c r="AJ10" s="20"/>
      <c r="AK10" s="20"/>
      <c r="AL10" s="20"/>
      <c r="AM10" s="20"/>
      <c r="AN10" s="20"/>
      <c r="AO10" s="423">
        <v>400</v>
      </c>
      <c r="AP10" s="415">
        <v>109000</v>
      </c>
      <c r="AQ10" s="415">
        <v>891888.83</v>
      </c>
      <c r="AR10" s="20">
        <v>1</v>
      </c>
      <c r="AS10" s="20">
        <v>0</v>
      </c>
      <c r="AT10" s="415"/>
      <c r="AU10" s="415">
        <v>891888.83</v>
      </c>
      <c r="AV10" s="20" t="s">
        <v>247</v>
      </c>
      <c r="AW10" s="424">
        <v>0</v>
      </c>
      <c r="AX10" s="424">
        <v>891888.83</v>
      </c>
      <c r="AY10" s="294">
        <v>356755.53</v>
      </c>
      <c r="AZ10" s="425" t="s">
        <v>576</v>
      </c>
      <c r="BA10" s="294">
        <v>356755.53</v>
      </c>
      <c r="BB10" s="426"/>
      <c r="BC10" s="294">
        <v>178377.7699999999</v>
      </c>
      <c r="BD10" s="426"/>
      <c r="BE10" s="332"/>
      <c r="BF10" s="421"/>
      <c r="BG10" s="332"/>
      <c r="BH10" s="431"/>
      <c r="BI10" s="332"/>
      <c r="BJ10" s="431"/>
      <c r="BK10" s="332"/>
      <c r="BL10" s="431"/>
      <c r="BM10" s="332"/>
      <c r="BN10" s="431"/>
      <c r="BO10" s="332"/>
      <c r="BP10" s="431"/>
      <c r="BQ10" s="332"/>
      <c r="BR10" s="431"/>
      <c r="BS10" s="332"/>
      <c r="BT10" s="431"/>
      <c r="BU10" s="332"/>
      <c r="BV10" s="431"/>
      <c r="BW10" s="330">
        <v>356755.53</v>
      </c>
      <c r="BX10" s="429">
        <v>356755.53</v>
      </c>
      <c r="BY10" s="430">
        <v>1</v>
      </c>
      <c r="BZ10" s="430" t="s">
        <v>555</v>
      </c>
      <c r="CA10" s="430">
        <v>356755.53</v>
      </c>
      <c r="CB10" s="20">
        <v>0</v>
      </c>
      <c r="CC10" s="329"/>
    </row>
    <row r="11" spans="1:81" x14ac:dyDescent="0.25">
      <c r="A11" s="329" t="s">
        <v>22</v>
      </c>
      <c r="B11" s="329" t="s">
        <v>86</v>
      </c>
      <c r="C11" s="329" t="s">
        <v>150</v>
      </c>
      <c r="D11" s="329" t="s">
        <v>752</v>
      </c>
      <c r="E11" s="329" t="s">
        <v>753</v>
      </c>
      <c r="F11" s="329" t="s">
        <v>274</v>
      </c>
      <c r="G11" s="329"/>
      <c r="H11" s="329"/>
      <c r="I11" s="329"/>
      <c r="J11" s="20">
        <v>105</v>
      </c>
      <c r="K11" s="20">
        <v>13958</v>
      </c>
      <c r="L11" s="415">
        <v>216720</v>
      </c>
      <c r="M11" s="20">
        <v>45</v>
      </c>
      <c r="N11" s="20">
        <v>5142</v>
      </c>
      <c r="O11" s="415">
        <v>104826.06</v>
      </c>
      <c r="P11" s="20">
        <v>38</v>
      </c>
      <c r="Q11" s="20">
        <v>190</v>
      </c>
      <c r="R11" s="415">
        <v>32680</v>
      </c>
      <c r="S11" s="20">
        <v>38</v>
      </c>
      <c r="T11" s="20">
        <v>190</v>
      </c>
      <c r="U11" s="415">
        <v>32680</v>
      </c>
      <c r="V11" s="20"/>
      <c r="W11" s="585"/>
      <c r="X11" s="20"/>
      <c r="Y11" s="585"/>
      <c r="Z11" s="20"/>
      <c r="AA11" s="585"/>
      <c r="AB11" s="20"/>
      <c r="AC11" s="585"/>
      <c r="AD11" s="20"/>
      <c r="AE11" s="585"/>
      <c r="AF11" s="586">
        <v>1</v>
      </c>
      <c r="AG11" s="585">
        <v>8000</v>
      </c>
      <c r="AH11" s="586">
        <v>20</v>
      </c>
      <c r="AI11" s="585">
        <v>8000</v>
      </c>
      <c r="AJ11" s="20"/>
      <c r="AK11" s="20"/>
      <c r="AL11" s="20"/>
      <c r="AM11" s="20"/>
      <c r="AN11" s="20"/>
      <c r="AO11" s="423">
        <v>226</v>
      </c>
      <c r="AP11" s="415">
        <v>68980</v>
      </c>
      <c r="AQ11" s="415">
        <v>463886.06</v>
      </c>
      <c r="AR11" s="20">
        <v>1</v>
      </c>
      <c r="AS11" s="20">
        <v>0</v>
      </c>
      <c r="AT11" s="415"/>
      <c r="AU11" s="415">
        <v>463886.06</v>
      </c>
      <c r="AV11" s="20" t="s">
        <v>244</v>
      </c>
      <c r="AW11" s="424">
        <v>0</v>
      </c>
      <c r="AX11" s="424">
        <v>463886.06</v>
      </c>
      <c r="AY11" s="294">
        <v>371108.85</v>
      </c>
      <c r="AZ11" s="425" t="s">
        <v>576</v>
      </c>
      <c r="BA11" s="294">
        <v>92777.210000000021</v>
      </c>
      <c r="BB11" s="426"/>
      <c r="BC11" s="427"/>
      <c r="BD11" s="331"/>
      <c r="BE11" s="332"/>
      <c r="BF11" s="421"/>
      <c r="BG11" s="332"/>
      <c r="BH11" s="428"/>
      <c r="BI11" s="332"/>
      <c r="BJ11" s="431"/>
      <c r="BK11" s="332"/>
      <c r="BL11" s="431"/>
      <c r="BM11" s="332"/>
      <c r="BN11" s="431"/>
      <c r="BO11" s="332"/>
      <c r="BP11" s="431"/>
      <c r="BQ11" s="332"/>
      <c r="BR11" s="431"/>
      <c r="BS11" s="332"/>
      <c r="BT11" s="431"/>
      <c r="BU11" s="332"/>
      <c r="BV11" s="431"/>
      <c r="BW11" s="330">
        <v>371108.85</v>
      </c>
      <c r="BX11" s="429">
        <v>371108.85</v>
      </c>
      <c r="BY11" s="430">
        <v>1</v>
      </c>
      <c r="BZ11" s="430" t="s">
        <v>555</v>
      </c>
      <c r="CA11" s="430">
        <v>92777.210000000021</v>
      </c>
      <c r="CB11" s="20">
        <v>0</v>
      </c>
      <c r="CC11" s="329"/>
    </row>
    <row r="12" spans="1:81" x14ac:dyDescent="0.25">
      <c r="A12" s="329" t="s">
        <v>23</v>
      </c>
      <c r="B12" s="329" t="s">
        <v>87</v>
      </c>
      <c r="C12" s="329" t="s">
        <v>151</v>
      </c>
      <c r="D12" s="329" t="s">
        <v>754</v>
      </c>
      <c r="E12" s="329" t="s">
        <v>755</v>
      </c>
      <c r="F12" s="329" t="s">
        <v>275</v>
      </c>
      <c r="G12" s="329"/>
      <c r="H12" s="329"/>
      <c r="I12" s="329"/>
      <c r="J12" s="20">
        <v>36</v>
      </c>
      <c r="K12" s="20">
        <v>4834</v>
      </c>
      <c r="L12" s="415">
        <v>74610</v>
      </c>
      <c r="M12" s="20">
        <v>3</v>
      </c>
      <c r="N12" s="20">
        <v>363</v>
      </c>
      <c r="O12" s="415">
        <v>7198.2899999999991</v>
      </c>
      <c r="P12" s="20">
        <v>25</v>
      </c>
      <c r="Q12" s="20">
        <v>125</v>
      </c>
      <c r="R12" s="415">
        <v>21500</v>
      </c>
      <c r="S12" s="20">
        <v>5</v>
      </c>
      <c r="T12" s="20">
        <v>25</v>
      </c>
      <c r="U12" s="415">
        <v>4300</v>
      </c>
      <c r="V12" s="20"/>
      <c r="W12" s="585"/>
      <c r="X12" s="20"/>
      <c r="Y12" s="585"/>
      <c r="Z12" s="20"/>
      <c r="AA12" s="585"/>
      <c r="AB12" s="20"/>
      <c r="AC12" s="585"/>
      <c r="AD12" s="20"/>
      <c r="AE12" s="585"/>
      <c r="AF12" s="586">
        <v>1</v>
      </c>
      <c r="AG12" s="585">
        <v>8000</v>
      </c>
      <c r="AH12" s="586">
        <v>20</v>
      </c>
      <c r="AI12" s="585">
        <v>8000</v>
      </c>
      <c r="AJ12" s="20"/>
      <c r="AK12" s="20"/>
      <c r="AL12" s="20"/>
      <c r="AM12" s="20"/>
      <c r="AN12" s="20"/>
      <c r="AO12" s="423">
        <v>69</v>
      </c>
      <c r="AP12" s="415">
        <v>27600</v>
      </c>
      <c r="AQ12" s="415">
        <v>143208.28999999998</v>
      </c>
      <c r="AR12" s="20">
        <v>1</v>
      </c>
      <c r="AS12" s="20">
        <v>0</v>
      </c>
      <c r="AT12" s="415"/>
      <c r="AU12" s="415">
        <v>143208.28999999998</v>
      </c>
      <c r="AV12" s="20" t="s">
        <v>244</v>
      </c>
      <c r="AW12" s="424">
        <v>0</v>
      </c>
      <c r="AX12" s="424">
        <v>143208.28999999998</v>
      </c>
      <c r="AY12" s="294">
        <v>114566.63</v>
      </c>
      <c r="AZ12" s="425" t="s">
        <v>576</v>
      </c>
      <c r="BA12" s="294">
        <v>28641.659999999974</v>
      </c>
      <c r="BB12" s="426"/>
      <c r="BC12" s="332"/>
      <c r="BD12" s="331"/>
      <c r="BE12" s="332"/>
      <c r="BF12" s="421"/>
      <c r="BG12" s="332"/>
      <c r="BH12" s="428"/>
      <c r="BI12" s="332"/>
      <c r="BJ12" s="431"/>
      <c r="BK12" s="332"/>
      <c r="BL12" s="431"/>
      <c r="BM12" s="332"/>
      <c r="BN12" s="431"/>
      <c r="BO12" s="332"/>
      <c r="BP12" s="431"/>
      <c r="BQ12" s="332"/>
      <c r="BR12" s="431"/>
      <c r="BS12" s="332"/>
      <c r="BT12" s="431"/>
      <c r="BU12" s="332"/>
      <c r="BV12" s="431"/>
      <c r="BW12" s="330">
        <v>114566.63</v>
      </c>
      <c r="BX12" s="429">
        <v>114566.63</v>
      </c>
      <c r="BY12" s="430">
        <v>1</v>
      </c>
      <c r="BZ12" s="430" t="s">
        <v>555</v>
      </c>
      <c r="CA12" s="430">
        <v>28641.659999999974</v>
      </c>
      <c r="CB12" s="20">
        <v>0</v>
      </c>
      <c r="CC12" s="329"/>
    </row>
    <row r="13" spans="1:81" x14ac:dyDescent="0.25">
      <c r="A13" s="329" t="s">
        <v>24</v>
      </c>
      <c r="B13" s="329" t="s">
        <v>88</v>
      </c>
      <c r="C13" s="329" t="s">
        <v>152</v>
      </c>
      <c r="D13" s="329" t="s">
        <v>756</v>
      </c>
      <c r="E13" s="329" t="s">
        <v>757</v>
      </c>
      <c r="F13" s="329" t="s">
        <v>276</v>
      </c>
      <c r="G13" s="329"/>
      <c r="H13" s="329"/>
      <c r="I13" s="329"/>
      <c r="J13" s="20">
        <v>0</v>
      </c>
      <c r="K13" s="20">
        <v>0</v>
      </c>
      <c r="L13" s="415"/>
      <c r="M13" s="20">
        <v>0</v>
      </c>
      <c r="N13" s="20">
        <v>0</v>
      </c>
      <c r="O13" s="415"/>
      <c r="P13" s="20">
        <v>11</v>
      </c>
      <c r="Q13" s="20">
        <v>55</v>
      </c>
      <c r="R13" s="415">
        <v>9460</v>
      </c>
      <c r="S13" s="20">
        <v>11</v>
      </c>
      <c r="T13" s="20">
        <v>55</v>
      </c>
      <c r="U13" s="415">
        <v>9460</v>
      </c>
      <c r="V13" s="20"/>
      <c r="W13" s="585"/>
      <c r="X13" s="20"/>
      <c r="Y13" s="585"/>
      <c r="Z13" s="20"/>
      <c r="AA13" s="585"/>
      <c r="AB13" s="20"/>
      <c r="AC13" s="585"/>
      <c r="AD13" s="20"/>
      <c r="AE13" s="585"/>
      <c r="AF13" s="586"/>
      <c r="AG13" s="585"/>
      <c r="AH13" s="586"/>
      <c r="AI13" s="585"/>
      <c r="AJ13" s="20"/>
      <c r="AK13" s="20"/>
      <c r="AL13" s="20"/>
      <c r="AM13" s="20"/>
      <c r="AN13" s="20"/>
      <c r="AO13" s="423">
        <v>22</v>
      </c>
      <c r="AP13" s="415">
        <v>8800</v>
      </c>
      <c r="AQ13" s="415">
        <v>27720</v>
      </c>
      <c r="AR13" s="20">
        <v>1</v>
      </c>
      <c r="AS13" s="20">
        <v>0</v>
      </c>
      <c r="AT13" s="415"/>
      <c r="AU13" s="415">
        <v>27720</v>
      </c>
      <c r="AV13" s="20" t="s">
        <v>244</v>
      </c>
      <c r="AW13" s="424">
        <v>0</v>
      </c>
      <c r="AX13" s="424">
        <v>27720</v>
      </c>
      <c r="AY13" s="294">
        <v>22176</v>
      </c>
      <c r="AZ13" s="425" t="s">
        <v>576</v>
      </c>
      <c r="BA13" s="294">
        <v>5544</v>
      </c>
      <c r="BB13" s="426"/>
      <c r="BC13" s="332"/>
      <c r="BD13" s="331"/>
      <c r="BE13" s="332"/>
      <c r="BF13" s="421"/>
      <c r="BG13" s="332"/>
      <c r="BH13" s="428"/>
      <c r="BI13" s="332"/>
      <c r="BJ13" s="431"/>
      <c r="BK13" s="332"/>
      <c r="BL13" s="431"/>
      <c r="BM13" s="332"/>
      <c r="BN13" s="431"/>
      <c r="BO13" s="332"/>
      <c r="BP13" s="431"/>
      <c r="BQ13" s="332"/>
      <c r="BR13" s="431"/>
      <c r="BS13" s="332"/>
      <c r="BT13" s="431"/>
      <c r="BU13" s="332"/>
      <c r="BV13" s="431"/>
      <c r="BW13" s="330">
        <v>22176</v>
      </c>
      <c r="BX13" s="429">
        <v>22176</v>
      </c>
      <c r="BY13" s="430">
        <v>1</v>
      </c>
      <c r="BZ13" s="430" t="s">
        <v>555</v>
      </c>
      <c r="CA13" s="430">
        <v>5544</v>
      </c>
      <c r="CB13" s="20">
        <v>0</v>
      </c>
      <c r="CC13" s="329"/>
    </row>
    <row r="14" spans="1:81" x14ac:dyDescent="0.25">
      <c r="A14" s="329" t="s">
        <v>25</v>
      </c>
      <c r="B14" s="329" t="s">
        <v>577</v>
      </c>
      <c r="C14" s="329" t="s">
        <v>153</v>
      </c>
      <c r="D14" s="329" t="s">
        <v>758</v>
      </c>
      <c r="E14" s="329" t="s">
        <v>759</v>
      </c>
      <c r="F14" s="329" t="s">
        <v>277</v>
      </c>
      <c r="G14" s="416"/>
      <c r="H14" s="416"/>
      <c r="I14" s="416"/>
      <c r="J14" s="20">
        <v>15</v>
      </c>
      <c r="K14" s="20">
        <v>1994</v>
      </c>
      <c r="L14" s="415">
        <v>30960</v>
      </c>
      <c r="M14" s="20">
        <v>4</v>
      </c>
      <c r="N14" s="20">
        <v>484</v>
      </c>
      <c r="O14" s="415">
        <v>9597.7199999999993</v>
      </c>
      <c r="P14" s="20">
        <v>6</v>
      </c>
      <c r="Q14" s="20">
        <v>30</v>
      </c>
      <c r="R14" s="415">
        <v>5160</v>
      </c>
      <c r="S14" s="20">
        <v>8</v>
      </c>
      <c r="T14" s="20">
        <v>40</v>
      </c>
      <c r="U14" s="415">
        <v>6880</v>
      </c>
      <c r="V14" s="20"/>
      <c r="W14" s="585"/>
      <c r="X14" s="20"/>
      <c r="Y14" s="585"/>
      <c r="Z14" s="20"/>
      <c r="AA14" s="585"/>
      <c r="AB14" s="20"/>
      <c r="AC14" s="585"/>
      <c r="AD14" s="20"/>
      <c r="AE14" s="585"/>
      <c r="AF14" s="586"/>
      <c r="AG14" s="585"/>
      <c r="AH14" s="586"/>
      <c r="AI14" s="585"/>
      <c r="AJ14" s="20"/>
      <c r="AK14" s="20"/>
      <c r="AL14" s="20"/>
      <c r="AM14" s="20"/>
      <c r="AN14" s="20"/>
      <c r="AO14" s="423">
        <v>33</v>
      </c>
      <c r="AP14" s="415">
        <v>13200</v>
      </c>
      <c r="AQ14" s="415">
        <v>65797.72</v>
      </c>
      <c r="AR14" s="20">
        <v>1</v>
      </c>
      <c r="AS14" s="20">
        <v>0</v>
      </c>
      <c r="AT14" s="415"/>
      <c r="AU14" s="415">
        <v>65797.72</v>
      </c>
      <c r="AV14" s="20" t="s">
        <v>244</v>
      </c>
      <c r="AW14" s="424">
        <v>0</v>
      </c>
      <c r="AX14" s="424">
        <v>65797.72</v>
      </c>
      <c r="AY14" s="294">
        <v>52638.18</v>
      </c>
      <c r="AZ14" s="425" t="s">
        <v>576</v>
      </c>
      <c r="BA14" s="294">
        <v>13159.54</v>
      </c>
      <c r="BB14" s="426"/>
      <c r="BC14" s="427"/>
      <c r="BD14" s="331"/>
      <c r="BE14" s="427"/>
      <c r="BF14" s="331"/>
      <c r="BG14" s="427"/>
      <c r="BH14" s="428"/>
      <c r="BI14" s="332"/>
      <c r="BJ14" s="431"/>
      <c r="BK14" s="332"/>
      <c r="BL14" s="431"/>
      <c r="BM14" s="332"/>
      <c r="BN14" s="431"/>
      <c r="BO14" s="332"/>
      <c r="BP14" s="431"/>
      <c r="BQ14" s="332"/>
      <c r="BR14" s="431"/>
      <c r="BS14" s="332"/>
      <c r="BT14" s="431"/>
      <c r="BU14" s="332"/>
      <c r="BV14" s="431"/>
      <c r="BW14" s="330">
        <v>52638.18</v>
      </c>
      <c r="BX14" s="429">
        <v>52638.18</v>
      </c>
      <c r="BY14" s="430">
        <v>1</v>
      </c>
      <c r="BZ14" s="430" t="s">
        <v>555</v>
      </c>
      <c r="CA14" s="430">
        <v>13159.54</v>
      </c>
      <c r="CB14" s="20">
        <v>0</v>
      </c>
      <c r="CC14" s="329"/>
    </row>
    <row r="15" spans="1:81" x14ac:dyDescent="0.25">
      <c r="A15" s="329" t="s">
        <v>26</v>
      </c>
      <c r="B15" s="329" t="s">
        <v>123</v>
      </c>
      <c r="C15" s="329" t="s">
        <v>154</v>
      </c>
      <c r="D15" s="329" t="s">
        <v>760</v>
      </c>
      <c r="E15" s="329" t="s">
        <v>761</v>
      </c>
      <c r="F15" s="329" t="s">
        <v>325</v>
      </c>
      <c r="G15" s="417"/>
      <c r="H15" s="416" t="s">
        <v>326</v>
      </c>
      <c r="I15" s="417"/>
      <c r="J15" s="20">
        <v>191</v>
      </c>
      <c r="K15" s="20">
        <v>25358</v>
      </c>
      <c r="L15" s="415">
        <v>394020</v>
      </c>
      <c r="M15" s="20">
        <v>208</v>
      </c>
      <c r="N15" s="20">
        <v>23754</v>
      </c>
      <c r="O15" s="415">
        <v>484389.42</v>
      </c>
      <c r="P15" s="20">
        <v>28</v>
      </c>
      <c r="Q15" s="20">
        <v>140</v>
      </c>
      <c r="R15" s="415">
        <v>24080</v>
      </c>
      <c r="S15" s="20">
        <v>28</v>
      </c>
      <c r="T15" s="20">
        <v>140</v>
      </c>
      <c r="U15" s="415">
        <v>24080</v>
      </c>
      <c r="V15" s="20"/>
      <c r="W15" s="585"/>
      <c r="X15" s="20"/>
      <c r="Y15" s="585"/>
      <c r="Z15" s="20"/>
      <c r="AA15" s="585"/>
      <c r="AB15" s="585"/>
      <c r="AC15" s="585"/>
      <c r="AD15" s="20"/>
      <c r="AE15" s="585"/>
      <c r="AF15" s="586">
        <v>7</v>
      </c>
      <c r="AG15" s="585">
        <v>56000</v>
      </c>
      <c r="AH15" s="586">
        <v>140</v>
      </c>
      <c r="AI15" s="585">
        <v>56000</v>
      </c>
      <c r="AJ15" s="20"/>
      <c r="AK15" s="20"/>
      <c r="AL15" s="20"/>
      <c r="AM15" s="20"/>
      <c r="AN15" s="20"/>
      <c r="AO15" s="423">
        <v>455</v>
      </c>
      <c r="AP15" s="415">
        <v>121650</v>
      </c>
      <c r="AQ15" s="415">
        <v>1104219.42</v>
      </c>
      <c r="AR15" s="20">
        <v>1</v>
      </c>
      <c r="AS15" s="20">
        <v>0</v>
      </c>
      <c r="AT15" s="415"/>
      <c r="AU15" s="415">
        <v>1104219.42</v>
      </c>
      <c r="AV15" s="20" t="s">
        <v>247</v>
      </c>
      <c r="AW15" s="424">
        <v>0</v>
      </c>
      <c r="AX15" s="424">
        <v>1104219.42</v>
      </c>
      <c r="AY15" s="294">
        <v>441687.77</v>
      </c>
      <c r="AZ15" s="425" t="s">
        <v>576</v>
      </c>
      <c r="BA15" s="294">
        <v>441687.77</v>
      </c>
      <c r="BB15" s="426"/>
      <c r="BC15" s="294">
        <v>220843.87999999989</v>
      </c>
      <c r="BD15" s="426"/>
      <c r="BE15" s="427"/>
      <c r="BF15" s="331"/>
      <c r="BG15" s="427"/>
      <c r="BH15" s="428"/>
      <c r="BI15" s="332"/>
      <c r="BJ15" s="431"/>
      <c r="BK15" s="332"/>
      <c r="BL15" s="431"/>
      <c r="BM15" s="332"/>
      <c r="BN15" s="431"/>
      <c r="BO15" s="332"/>
      <c r="BP15" s="431"/>
      <c r="BQ15" s="332"/>
      <c r="BR15" s="431"/>
      <c r="BS15" s="332"/>
      <c r="BT15" s="431"/>
      <c r="BU15" s="332"/>
      <c r="BV15" s="431"/>
      <c r="BW15" s="330">
        <v>441687.77</v>
      </c>
      <c r="BX15" s="429">
        <v>441687.77</v>
      </c>
      <c r="BY15" s="430">
        <v>1</v>
      </c>
      <c r="BZ15" s="430" t="s">
        <v>555</v>
      </c>
      <c r="CA15" s="430">
        <v>441687.77</v>
      </c>
      <c r="CB15" s="20">
        <v>0</v>
      </c>
      <c r="CC15" s="329"/>
    </row>
    <row r="16" spans="1:81" x14ac:dyDescent="0.25">
      <c r="A16" s="329" t="s">
        <v>27</v>
      </c>
      <c r="B16" s="329" t="s">
        <v>89</v>
      </c>
      <c r="C16" s="329" t="s">
        <v>155</v>
      </c>
      <c r="D16" s="329" t="s">
        <v>762</v>
      </c>
      <c r="E16" s="329" t="s">
        <v>763</v>
      </c>
      <c r="F16" s="329" t="s">
        <v>327</v>
      </c>
      <c r="G16" s="329"/>
      <c r="H16" s="329" t="s">
        <v>328</v>
      </c>
      <c r="I16" s="329"/>
      <c r="J16" s="20">
        <v>8</v>
      </c>
      <c r="K16" s="20">
        <v>1128</v>
      </c>
      <c r="L16" s="415">
        <v>16920</v>
      </c>
      <c r="M16" s="20">
        <v>24</v>
      </c>
      <c r="N16" s="20">
        <v>2803</v>
      </c>
      <c r="O16" s="415">
        <v>56536.889999999992</v>
      </c>
      <c r="P16" s="20">
        <v>4</v>
      </c>
      <c r="Q16" s="20">
        <v>20</v>
      </c>
      <c r="R16" s="415">
        <v>3440</v>
      </c>
      <c r="S16" s="20">
        <v>4</v>
      </c>
      <c r="T16" s="20">
        <v>20</v>
      </c>
      <c r="U16" s="415">
        <v>3440</v>
      </c>
      <c r="V16" s="20"/>
      <c r="W16" s="585"/>
      <c r="X16" s="20"/>
      <c r="Y16" s="585"/>
      <c r="Z16" s="20"/>
      <c r="AA16" s="585"/>
      <c r="AB16" s="20"/>
      <c r="AC16" s="585"/>
      <c r="AD16" s="20"/>
      <c r="AE16" s="585"/>
      <c r="AF16" s="586"/>
      <c r="AG16" s="585"/>
      <c r="AH16" s="586"/>
      <c r="AI16" s="585"/>
      <c r="AJ16" s="20"/>
      <c r="AK16" s="20"/>
      <c r="AL16" s="20"/>
      <c r="AM16" s="20"/>
      <c r="AN16" s="20"/>
      <c r="AO16" s="423">
        <v>40</v>
      </c>
      <c r="AP16" s="415">
        <v>16000</v>
      </c>
      <c r="AQ16" s="415">
        <v>96336.889999999985</v>
      </c>
      <c r="AR16" s="20">
        <v>1</v>
      </c>
      <c r="AS16" s="20">
        <v>0</v>
      </c>
      <c r="AT16" s="415"/>
      <c r="AU16" s="415">
        <v>96336.889999999985</v>
      </c>
      <c r="AV16" s="20" t="s">
        <v>244</v>
      </c>
      <c r="AW16" s="424">
        <v>0</v>
      </c>
      <c r="AX16" s="424">
        <v>96336.889999999985</v>
      </c>
      <c r="AY16" s="294">
        <v>77069.509999999995</v>
      </c>
      <c r="AZ16" s="425" t="s">
        <v>576</v>
      </c>
      <c r="BA16" s="294">
        <v>19267.37999999999</v>
      </c>
      <c r="BB16" s="426"/>
      <c r="BC16" s="332"/>
      <c r="BD16" s="331"/>
      <c r="BE16" s="332"/>
      <c r="BF16" s="421"/>
      <c r="BG16" s="332"/>
      <c r="BH16" s="428"/>
      <c r="BI16" s="332"/>
      <c r="BJ16" s="431"/>
      <c r="BK16" s="332"/>
      <c r="BL16" s="431"/>
      <c r="BM16" s="332"/>
      <c r="BN16" s="431"/>
      <c r="BO16" s="332"/>
      <c r="BP16" s="431"/>
      <c r="BQ16" s="332"/>
      <c r="BR16" s="431"/>
      <c r="BS16" s="332"/>
      <c r="BT16" s="431"/>
      <c r="BU16" s="332"/>
      <c r="BV16" s="431"/>
      <c r="BW16" s="330">
        <v>77069.509999999995</v>
      </c>
      <c r="BX16" s="429">
        <v>77069.509999999995</v>
      </c>
      <c r="BY16" s="430">
        <v>1</v>
      </c>
      <c r="BZ16" s="430" t="s">
        <v>555</v>
      </c>
      <c r="CA16" s="430">
        <v>19267.37999999999</v>
      </c>
      <c r="CB16" s="20">
        <v>0</v>
      </c>
      <c r="CC16" s="329"/>
    </row>
    <row r="17" spans="1:81" x14ac:dyDescent="0.25">
      <c r="A17" s="329" t="s">
        <v>28</v>
      </c>
      <c r="B17" s="329" t="s">
        <v>90</v>
      </c>
      <c r="C17" s="329" t="s">
        <v>156</v>
      </c>
      <c r="D17" s="329" t="s">
        <v>764</v>
      </c>
      <c r="E17" s="329" t="s">
        <v>765</v>
      </c>
      <c r="F17" s="329" t="s">
        <v>941</v>
      </c>
      <c r="G17" s="329"/>
      <c r="H17" s="329" t="s">
        <v>889</v>
      </c>
      <c r="I17" s="329"/>
      <c r="J17" s="20">
        <v>44</v>
      </c>
      <c r="K17" s="20">
        <v>5841</v>
      </c>
      <c r="L17" s="415">
        <v>90765</v>
      </c>
      <c r="M17" s="20">
        <v>36</v>
      </c>
      <c r="N17" s="20">
        <v>4154</v>
      </c>
      <c r="O17" s="415">
        <v>84280.62</v>
      </c>
      <c r="P17" s="20">
        <v>4</v>
      </c>
      <c r="Q17" s="20">
        <v>20</v>
      </c>
      <c r="R17" s="415">
        <v>3440</v>
      </c>
      <c r="S17" s="20">
        <v>8</v>
      </c>
      <c r="T17" s="20">
        <v>40</v>
      </c>
      <c r="U17" s="415">
        <v>6880</v>
      </c>
      <c r="V17" s="20"/>
      <c r="W17" s="585"/>
      <c r="X17" s="20"/>
      <c r="Y17" s="585"/>
      <c r="Z17" s="20"/>
      <c r="AA17" s="585"/>
      <c r="AB17" s="20"/>
      <c r="AC17" s="585"/>
      <c r="AD17" s="20"/>
      <c r="AE17" s="585"/>
      <c r="AF17" s="586"/>
      <c r="AG17" s="585"/>
      <c r="AH17" s="586"/>
      <c r="AI17" s="585"/>
      <c r="AJ17" s="20"/>
      <c r="AK17" s="20"/>
      <c r="AL17" s="20"/>
      <c r="AM17" s="20"/>
      <c r="AN17" s="20"/>
      <c r="AO17" s="423">
        <v>92</v>
      </c>
      <c r="AP17" s="415">
        <v>36800</v>
      </c>
      <c r="AQ17" s="415">
        <v>222165.62</v>
      </c>
      <c r="AR17" s="20">
        <v>1</v>
      </c>
      <c r="AS17" s="20">
        <v>0</v>
      </c>
      <c r="AT17" s="415"/>
      <c r="AU17" s="415">
        <v>222165.62</v>
      </c>
      <c r="AV17" s="20" t="s">
        <v>244</v>
      </c>
      <c r="AW17" s="424">
        <v>0</v>
      </c>
      <c r="AX17" s="424">
        <v>222165.62</v>
      </c>
      <c r="AY17" s="294">
        <v>177732.5</v>
      </c>
      <c r="AZ17" s="425" t="s">
        <v>576</v>
      </c>
      <c r="BA17" s="294">
        <v>44433.119999999995</v>
      </c>
      <c r="BB17" s="426"/>
      <c r="BC17" s="332"/>
      <c r="BD17" s="331"/>
      <c r="BE17" s="332"/>
      <c r="BF17" s="421"/>
      <c r="BG17" s="332"/>
      <c r="BH17" s="428"/>
      <c r="BI17" s="332"/>
      <c r="BJ17" s="431"/>
      <c r="BK17" s="332"/>
      <c r="BL17" s="431"/>
      <c r="BM17" s="332"/>
      <c r="BN17" s="431"/>
      <c r="BO17" s="332"/>
      <c r="BP17" s="431"/>
      <c r="BQ17" s="332"/>
      <c r="BR17" s="431"/>
      <c r="BS17" s="332"/>
      <c r="BT17" s="431"/>
      <c r="BU17" s="332"/>
      <c r="BV17" s="431"/>
      <c r="BW17" s="330">
        <v>177732.5</v>
      </c>
      <c r="BX17" s="429">
        <v>177732.5</v>
      </c>
      <c r="BY17" s="430">
        <v>1</v>
      </c>
      <c r="BZ17" s="430" t="s">
        <v>555</v>
      </c>
      <c r="CA17" s="430">
        <v>44433.119999999995</v>
      </c>
      <c r="CB17" s="20">
        <v>0</v>
      </c>
      <c r="CC17" s="329"/>
    </row>
    <row r="18" spans="1:81" s="23" customFormat="1" x14ac:dyDescent="0.25">
      <c r="A18" s="329" t="s">
        <v>29</v>
      </c>
      <c r="B18" s="329" t="s">
        <v>91</v>
      </c>
      <c r="C18" s="329" t="s">
        <v>157</v>
      </c>
      <c r="D18" s="329" t="s">
        <v>766</v>
      </c>
      <c r="E18" s="329" t="s">
        <v>767</v>
      </c>
      <c r="F18" s="329" t="s">
        <v>278</v>
      </c>
      <c r="G18" s="329"/>
      <c r="H18" s="329"/>
      <c r="I18" s="329"/>
      <c r="J18" s="20">
        <v>316</v>
      </c>
      <c r="K18" s="20">
        <v>41894</v>
      </c>
      <c r="L18" s="415">
        <v>651510</v>
      </c>
      <c r="M18" s="20">
        <v>58</v>
      </c>
      <c r="N18" s="20">
        <v>6614</v>
      </c>
      <c r="O18" s="415">
        <v>134969.21999999997</v>
      </c>
      <c r="P18" s="20">
        <v>25</v>
      </c>
      <c r="Q18" s="20">
        <v>125</v>
      </c>
      <c r="R18" s="415">
        <v>21500</v>
      </c>
      <c r="S18" s="20">
        <v>15</v>
      </c>
      <c r="T18" s="20">
        <v>75</v>
      </c>
      <c r="U18" s="415">
        <v>12900</v>
      </c>
      <c r="V18" s="20"/>
      <c r="W18" s="585"/>
      <c r="X18" s="20"/>
      <c r="Y18" s="585"/>
      <c r="Z18" s="20">
        <v>1</v>
      </c>
      <c r="AA18" s="585">
        <v>6800</v>
      </c>
      <c r="AB18" s="20"/>
      <c r="AC18" s="585"/>
      <c r="AD18" s="20"/>
      <c r="AE18" s="585"/>
      <c r="AF18" s="586">
        <v>4</v>
      </c>
      <c r="AG18" s="585">
        <v>32000</v>
      </c>
      <c r="AH18" s="586">
        <v>107</v>
      </c>
      <c r="AI18" s="585">
        <v>38800</v>
      </c>
      <c r="AJ18" s="20"/>
      <c r="AK18" s="20"/>
      <c r="AL18" s="20"/>
      <c r="AM18" s="20"/>
      <c r="AN18" s="20"/>
      <c r="AO18" s="423">
        <v>414</v>
      </c>
      <c r="AP18" s="415">
        <v>112220</v>
      </c>
      <c r="AQ18" s="415">
        <v>971899.22</v>
      </c>
      <c r="AR18" s="20">
        <v>1</v>
      </c>
      <c r="AS18" s="20">
        <v>0</v>
      </c>
      <c r="AT18" s="415"/>
      <c r="AU18" s="415">
        <v>971899.22</v>
      </c>
      <c r="AV18" s="20" t="s">
        <v>247</v>
      </c>
      <c r="AW18" s="424">
        <v>0</v>
      </c>
      <c r="AX18" s="424">
        <v>971899.22</v>
      </c>
      <c r="AY18" s="294">
        <v>388759.69</v>
      </c>
      <c r="AZ18" s="425" t="s">
        <v>576</v>
      </c>
      <c r="BA18" s="294">
        <v>388759.69</v>
      </c>
      <c r="BB18" s="426"/>
      <c r="BC18" s="294">
        <v>194379.84000000003</v>
      </c>
      <c r="BD18" s="426"/>
      <c r="BE18" s="332"/>
      <c r="BF18" s="421"/>
      <c r="BG18" s="332"/>
      <c r="BH18" s="428"/>
      <c r="BI18" s="332"/>
      <c r="BJ18" s="431"/>
      <c r="BK18" s="332"/>
      <c r="BL18" s="431"/>
      <c r="BM18" s="332"/>
      <c r="BN18" s="431"/>
      <c r="BO18" s="332"/>
      <c r="BP18" s="431"/>
      <c r="BQ18" s="332"/>
      <c r="BR18" s="431"/>
      <c r="BS18" s="332"/>
      <c r="BT18" s="431"/>
      <c r="BU18" s="332"/>
      <c r="BV18" s="431"/>
      <c r="BW18" s="330">
        <v>388759.69</v>
      </c>
      <c r="BX18" s="429">
        <v>388759.69</v>
      </c>
      <c r="BY18" s="430">
        <v>1</v>
      </c>
      <c r="BZ18" s="430" t="s">
        <v>555</v>
      </c>
      <c r="CA18" s="430">
        <v>388759.69</v>
      </c>
      <c r="CB18" s="20">
        <v>0</v>
      </c>
      <c r="CC18" s="329"/>
    </row>
    <row r="19" spans="1:81" x14ac:dyDescent="0.25">
      <c r="A19" s="329" t="s">
        <v>30</v>
      </c>
      <c r="B19" s="329" t="s">
        <v>9</v>
      </c>
      <c r="C19" s="329" t="s">
        <v>158</v>
      </c>
      <c r="D19" s="329" t="s">
        <v>768</v>
      </c>
      <c r="E19" s="329" t="s">
        <v>769</v>
      </c>
      <c r="F19" s="329" t="s">
        <v>279</v>
      </c>
      <c r="G19" s="329"/>
      <c r="H19" s="329"/>
      <c r="I19" s="329"/>
      <c r="J19" s="20">
        <v>0</v>
      </c>
      <c r="K19" s="20">
        <v>0</v>
      </c>
      <c r="L19" s="415"/>
      <c r="M19" s="20">
        <v>0</v>
      </c>
      <c r="N19" s="20">
        <v>0</v>
      </c>
      <c r="O19" s="415"/>
      <c r="P19" s="20">
        <v>9</v>
      </c>
      <c r="Q19" s="20">
        <v>45</v>
      </c>
      <c r="R19" s="415">
        <v>7740</v>
      </c>
      <c r="S19" s="20">
        <v>17</v>
      </c>
      <c r="T19" s="20">
        <v>85</v>
      </c>
      <c r="U19" s="415">
        <v>14620</v>
      </c>
      <c r="V19" s="20"/>
      <c r="W19" s="585"/>
      <c r="X19" s="20"/>
      <c r="Y19" s="585"/>
      <c r="Z19" s="20"/>
      <c r="AA19" s="585"/>
      <c r="AB19" s="20"/>
      <c r="AC19" s="585"/>
      <c r="AD19" s="20"/>
      <c r="AE19" s="585"/>
      <c r="AF19" s="586"/>
      <c r="AG19" s="585"/>
      <c r="AH19" s="586"/>
      <c r="AI19" s="585"/>
      <c r="AJ19" s="20"/>
      <c r="AK19" s="20"/>
      <c r="AL19" s="20"/>
      <c r="AM19" s="20"/>
      <c r="AN19" s="20"/>
      <c r="AO19" s="423">
        <v>26</v>
      </c>
      <c r="AP19" s="415">
        <v>10400</v>
      </c>
      <c r="AQ19" s="415">
        <v>32760</v>
      </c>
      <c r="AR19" s="20">
        <v>1</v>
      </c>
      <c r="AS19" s="20">
        <v>0</v>
      </c>
      <c r="AT19" s="415"/>
      <c r="AU19" s="415">
        <v>32760</v>
      </c>
      <c r="AV19" s="20" t="s">
        <v>244</v>
      </c>
      <c r="AW19" s="424">
        <v>0</v>
      </c>
      <c r="AX19" s="424">
        <v>32760</v>
      </c>
      <c r="AY19" s="294">
        <v>26208</v>
      </c>
      <c r="AZ19" s="425" t="s">
        <v>576</v>
      </c>
      <c r="BA19" s="294">
        <v>6552</v>
      </c>
      <c r="BB19" s="426"/>
      <c r="BC19" s="332"/>
      <c r="BD19" s="331"/>
      <c r="BE19" s="332"/>
      <c r="BF19" s="421"/>
      <c r="BG19" s="332"/>
      <c r="BH19" s="428"/>
      <c r="BI19" s="332"/>
      <c r="BJ19" s="431"/>
      <c r="BK19" s="332"/>
      <c r="BL19" s="431"/>
      <c r="BM19" s="332"/>
      <c r="BN19" s="431"/>
      <c r="BO19" s="332"/>
      <c r="BP19" s="431"/>
      <c r="BQ19" s="332"/>
      <c r="BR19" s="431"/>
      <c r="BS19" s="332"/>
      <c r="BT19" s="431"/>
      <c r="BU19" s="332"/>
      <c r="BV19" s="431"/>
      <c r="BW19" s="330">
        <v>26208</v>
      </c>
      <c r="BX19" s="429">
        <v>26208</v>
      </c>
      <c r="BY19" s="430">
        <v>1</v>
      </c>
      <c r="BZ19" s="430" t="s">
        <v>555</v>
      </c>
      <c r="CA19" s="430">
        <v>6552</v>
      </c>
      <c r="CB19" s="20">
        <v>0</v>
      </c>
      <c r="CC19" s="329"/>
    </row>
    <row r="20" spans="1:81" x14ac:dyDescent="0.25">
      <c r="A20" s="329" t="s">
        <v>31</v>
      </c>
      <c r="B20" s="329" t="s">
        <v>92</v>
      </c>
      <c r="C20" s="329" t="s">
        <v>159</v>
      </c>
      <c r="D20" s="329" t="s">
        <v>770</v>
      </c>
      <c r="E20" s="329" t="s">
        <v>771</v>
      </c>
      <c r="F20" s="329" t="s">
        <v>280</v>
      </c>
      <c r="G20" s="329"/>
      <c r="H20" s="329"/>
      <c r="I20" s="329"/>
      <c r="J20" s="20">
        <v>224</v>
      </c>
      <c r="K20" s="20">
        <v>29769</v>
      </c>
      <c r="L20" s="415">
        <v>462285</v>
      </c>
      <c r="M20" s="20">
        <v>55</v>
      </c>
      <c r="N20" s="20">
        <v>6352</v>
      </c>
      <c r="O20" s="415">
        <v>128820.35999999999</v>
      </c>
      <c r="P20" s="20">
        <v>5</v>
      </c>
      <c r="Q20" s="20">
        <v>25</v>
      </c>
      <c r="R20" s="415">
        <v>4300</v>
      </c>
      <c r="S20" s="20">
        <v>4</v>
      </c>
      <c r="T20" s="20">
        <v>20</v>
      </c>
      <c r="U20" s="415">
        <v>3440</v>
      </c>
      <c r="V20" s="20"/>
      <c r="W20" s="585"/>
      <c r="X20" s="20"/>
      <c r="Y20" s="585"/>
      <c r="Z20" s="20"/>
      <c r="AA20" s="585"/>
      <c r="AB20" s="20"/>
      <c r="AC20" s="585"/>
      <c r="AD20" s="20"/>
      <c r="AE20" s="585"/>
      <c r="AF20" s="586">
        <v>1</v>
      </c>
      <c r="AG20" s="585">
        <v>8000</v>
      </c>
      <c r="AH20" s="586">
        <v>20</v>
      </c>
      <c r="AI20" s="585">
        <v>8000</v>
      </c>
      <c r="AJ20" s="20"/>
      <c r="AK20" s="20"/>
      <c r="AL20" s="20"/>
      <c r="AM20" s="20"/>
      <c r="AN20" s="20"/>
      <c r="AO20" s="423">
        <v>288</v>
      </c>
      <c r="AP20" s="415">
        <v>83240</v>
      </c>
      <c r="AQ20" s="415">
        <v>690085.36</v>
      </c>
      <c r="AR20" s="20">
        <v>1</v>
      </c>
      <c r="AS20" s="20">
        <v>0</v>
      </c>
      <c r="AT20" s="415"/>
      <c r="AU20" s="415">
        <v>690085.36</v>
      </c>
      <c r="AV20" s="20" t="s">
        <v>247</v>
      </c>
      <c r="AW20" s="424">
        <v>0</v>
      </c>
      <c r="AX20" s="424">
        <v>690085.36</v>
      </c>
      <c r="AY20" s="294">
        <v>276034.14</v>
      </c>
      <c r="AZ20" s="425" t="s">
        <v>576</v>
      </c>
      <c r="BA20" s="294">
        <v>276034.14</v>
      </c>
      <c r="BB20" s="426"/>
      <c r="BC20" s="294">
        <v>138017.07999999996</v>
      </c>
      <c r="BD20" s="426"/>
      <c r="BE20" s="332"/>
      <c r="BF20" s="421"/>
      <c r="BG20" s="332"/>
      <c r="BH20" s="428"/>
      <c r="BI20" s="332"/>
      <c r="BJ20" s="431"/>
      <c r="BK20" s="332"/>
      <c r="BL20" s="431"/>
      <c r="BM20" s="332"/>
      <c r="BN20" s="431"/>
      <c r="BO20" s="332"/>
      <c r="BP20" s="431"/>
      <c r="BQ20" s="332"/>
      <c r="BR20" s="431"/>
      <c r="BS20" s="332"/>
      <c r="BT20" s="431"/>
      <c r="BU20" s="332"/>
      <c r="BV20" s="431"/>
      <c r="BW20" s="330">
        <v>276034.14</v>
      </c>
      <c r="BX20" s="429">
        <v>276034.14</v>
      </c>
      <c r="BY20" s="430">
        <v>1</v>
      </c>
      <c r="BZ20" s="430" t="s">
        <v>555</v>
      </c>
      <c r="CA20" s="430">
        <v>276034.14</v>
      </c>
      <c r="CB20" s="20">
        <v>0</v>
      </c>
      <c r="CC20" s="329"/>
    </row>
    <row r="21" spans="1:81" x14ac:dyDescent="0.25">
      <c r="A21" s="329" t="s">
        <v>32</v>
      </c>
      <c r="B21" s="329" t="s">
        <v>93</v>
      </c>
      <c r="C21" s="329" t="s">
        <v>160</v>
      </c>
      <c r="D21" s="329" t="s">
        <v>772</v>
      </c>
      <c r="E21" s="329" t="s">
        <v>773</v>
      </c>
      <c r="F21" s="329" t="s">
        <v>890</v>
      </c>
      <c r="G21" s="329"/>
      <c r="H21" s="329"/>
      <c r="I21" s="329"/>
      <c r="J21" s="20">
        <v>8</v>
      </c>
      <c r="K21" s="20">
        <v>1128</v>
      </c>
      <c r="L21" s="415">
        <v>16920</v>
      </c>
      <c r="M21" s="20">
        <v>2</v>
      </c>
      <c r="N21" s="20">
        <v>242</v>
      </c>
      <c r="O21" s="415">
        <v>4798.8599999999997</v>
      </c>
      <c r="P21" s="20">
        <v>3</v>
      </c>
      <c r="Q21" s="20">
        <v>15</v>
      </c>
      <c r="R21" s="415">
        <v>2580</v>
      </c>
      <c r="S21" s="20">
        <v>1</v>
      </c>
      <c r="T21" s="20">
        <v>5</v>
      </c>
      <c r="U21" s="415">
        <v>860</v>
      </c>
      <c r="V21" s="20"/>
      <c r="W21" s="585"/>
      <c r="X21" s="20"/>
      <c r="Y21" s="585"/>
      <c r="Z21" s="20"/>
      <c r="AA21" s="585"/>
      <c r="AB21" s="20"/>
      <c r="AC21" s="585"/>
      <c r="AD21" s="20"/>
      <c r="AE21" s="585"/>
      <c r="AF21" s="586"/>
      <c r="AG21" s="585"/>
      <c r="AH21" s="586"/>
      <c r="AI21" s="585"/>
      <c r="AJ21" s="20"/>
      <c r="AK21" s="20"/>
      <c r="AL21" s="20"/>
      <c r="AM21" s="20"/>
      <c r="AN21" s="20"/>
      <c r="AO21" s="423">
        <v>14</v>
      </c>
      <c r="AP21" s="415">
        <v>5600</v>
      </c>
      <c r="AQ21" s="415">
        <v>30758.86</v>
      </c>
      <c r="AR21" s="20">
        <v>1</v>
      </c>
      <c r="AS21" s="20">
        <v>0</v>
      </c>
      <c r="AT21" s="415"/>
      <c r="AU21" s="415">
        <v>30758.86</v>
      </c>
      <c r="AV21" s="20" t="s">
        <v>244</v>
      </c>
      <c r="AW21" s="424">
        <v>0</v>
      </c>
      <c r="AX21" s="424">
        <v>30758.86</v>
      </c>
      <c r="AY21" s="294">
        <v>24607.09</v>
      </c>
      <c r="AZ21" s="425" t="s">
        <v>576</v>
      </c>
      <c r="BA21" s="294">
        <v>6151.77</v>
      </c>
      <c r="BB21" s="426"/>
      <c r="BC21" s="332"/>
      <c r="BD21" s="331"/>
      <c r="BE21" s="332"/>
      <c r="BF21" s="421"/>
      <c r="BG21" s="332"/>
      <c r="BH21" s="428"/>
      <c r="BI21" s="332"/>
      <c r="BJ21" s="431"/>
      <c r="BK21" s="332"/>
      <c r="BL21" s="431"/>
      <c r="BM21" s="332"/>
      <c r="BN21" s="431"/>
      <c r="BO21" s="332"/>
      <c r="BP21" s="431"/>
      <c r="BQ21" s="332"/>
      <c r="BR21" s="431"/>
      <c r="BS21" s="332"/>
      <c r="BT21" s="431"/>
      <c r="BU21" s="332"/>
      <c r="BV21" s="431"/>
      <c r="BW21" s="330">
        <v>24607.09</v>
      </c>
      <c r="BX21" s="429">
        <v>24607.09</v>
      </c>
      <c r="BY21" s="430">
        <v>1</v>
      </c>
      <c r="BZ21" s="430" t="s">
        <v>555</v>
      </c>
      <c r="CA21" s="430">
        <v>6151.77</v>
      </c>
      <c r="CB21" s="20">
        <v>0</v>
      </c>
      <c r="CC21" s="329"/>
    </row>
    <row r="22" spans="1:81" x14ac:dyDescent="0.25">
      <c r="A22" s="329" t="s">
        <v>33</v>
      </c>
      <c r="B22" s="329" t="s">
        <v>94</v>
      </c>
      <c r="C22" s="329" t="s">
        <v>774</v>
      </c>
      <c r="D22" s="329" t="s">
        <v>775</v>
      </c>
      <c r="E22" s="329"/>
      <c r="F22" s="329"/>
      <c r="G22" s="418"/>
      <c r="H22" s="329"/>
      <c r="I22" s="329"/>
      <c r="J22" s="20">
        <v>0</v>
      </c>
      <c r="K22" s="20">
        <v>0</v>
      </c>
      <c r="L22" s="415"/>
      <c r="M22" s="20">
        <v>0</v>
      </c>
      <c r="N22" s="20">
        <v>0</v>
      </c>
      <c r="O22" s="415"/>
      <c r="P22" s="20">
        <v>0</v>
      </c>
      <c r="Q22" s="20">
        <v>0</v>
      </c>
      <c r="R22" s="415"/>
      <c r="S22" s="20">
        <v>0</v>
      </c>
      <c r="T22" s="20">
        <v>0</v>
      </c>
      <c r="U22" s="415"/>
      <c r="V22" s="20"/>
      <c r="W22" s="585"/>
      <c r="X22" s="20"/>
      <c r="Y22" s="585"/>
      <c r="Z22" s="20"/>
      <c r="AA22" s="585"/>
      <c r="AB22" s="20"/>
      <c r="AC22" s="585"/>
      <c r="AD22" s="20"/>
      <c r="AE22" s="585"/>
      <c r="AF22" s="586"/>
      <c r="AG22" s="585"/>
      <c r="AH22" s="586"/>
      <c r="AI22" s="585"/>
      <c r="AJ22" s="20"/>
      <c r="AK22" s="20"/>
      <c r="AL22" s="20"/>
      <c r="AM22" s="20"/>
      <c r="AN22" s="20"/>
      <c r="AO22" s="423">
        <v>0</v>
      </c>
      <c r="AP22" s="415"/>
      <c r="AQ22" s="415"/>
      <c r="AR22" s="20">
        <v>1</v>
      </c>
      <c r="AS22" s="20">
        <v>0</v>
      </c>
      <c r="AT22" s="415"/>
      <c r="AU22" s="415"/>
      <c r="AV22" s="20" t="s">
        <v>774</v>
      </c>
      <c r="AW22" s="424" t="e">
        <v>#VALUE!</v>
      </c>
      <c r="AX22" s="424" t="e">
        <v>#VALUE!</v>
      </c>
      <c r="AY22" s="294" t="s">
        <v>774</v>
      </c>
      <c r="AZ22" s="425"/>
      <c r="BA22" s="294" t="e">
        <v>#VALUE!</v>
      </c>
      <c r="BB22" s="426"/>
      <c r="BC22" s="332"/>
      <c r="BD22" s="331"/>
      <c r="BE22" s="332"/>
      <c r="BF22" s="421"/>
      <c r="BG22" s="332"/>
      <c r="BH22" s="428"/>
      <c r="BI22" s="332"/>
      <c r="BJ22" s="431"/>
      <c r="BK22" s="332"/>
      <c r="BL22" s="431"/>
      <c r="BM22" s="332"/>
      <c r="BN22" s="431"/>
      <c r="BO22" s="332"/>
      <c r="BP22" s="431"/>
      <c r="BQ22" s="332"/>
      <c r="BR22" s="431"/>
      <c r="BS22" s="332"/>
      <c r="BT22" s="431"/>
      <c r="BU22" s="332"/>
      <c r="BV22" s="431"/>
      <c r="BW22" s="330" t="e">
        <v>#VALUE!</v>
      </c>
      <c r="BX22" s="429" t="e">
        <v>#VALUE!</v>
      </c>
      <c r="BY22" s="430">
        <v>0</v>
      </c>
      <c r="BZ22" s="430" t="s">
        <v>553</v>
      </c>
      <c r="CA22" s="430" t="s">
        <v>774</v>
      </c>
      <c r="CB22" s="20">
        <v>0</v>
      </c>
      <c r="CC22" s="329"/>
    </row>
    <row r="23" spans="1:81" x14ac:dyDescent="0.25">
      <c r="A23" s="329" t="s">
        <v>34</v>
      </c>
      <c r="B23" s="329" t="s">
        <v>95</v>
      </c>
      <c r="C23" s="329" t="s">
        <v>161</v>
      </c>
      <c r="D23" s="329" t="s">
        <v>776</v>
      </c>
      <c r="E23" s="329" t="s">
        <v>777</v>
      </c>
      <c r="F23" s="419" t="s">
        <v>891</v>
      </c>
      <c r="G23" s="420"/>
      <c r="H23" s="419"/>
      <c r="I23" s="329"/>
      <c r="J23" s="20">
        <v>58</v>
      </c>
      <c r="K23" s="20">
        <v>7694</v>
      </c>
      <c r="L23" s="415">
        <v>119610</v>
      </c>
      <c r="M23" s="20">
        <v>24</v>
      </c>
      <c r="N23" s="20">
        <v>2803</v>
      </c>
      <c r="O23" s="415">
        <v>56536.889999999992</v>
      </c>
      <c r="P23" s="20">
        <v>3</v>
      </c>
      <c r="Q23" s="20">
        <v>15</v>
      </c>
      <c r="R23" s="415">
        <v>2580</v>
      </c>
      <c r="S23" s="20">
        <v>4</v>
      </c>
      <c r="T23" s="20">
        <v>20</v>
      </c>
      <c r="U23" s="415">
        <v>3440</v>
      </c>
      <c r="V23" s="20"/>
      <c r="W23" s="585"/>
      <c r="X23" s="20"/>
      <c r="Y23" s="585"/>
      <c r="Z23" s="20"/>
      <c r="AA23" s="585"/>
      <c r="AB23" s="20"/>
      <c r="AC23" s="585"/>
      <c r="AD23" s="20"/>
      <c r="AE23" s="585"/>
      <c r="AF23" s="586"/>
      <c r="AG23" s="585"/>
      <c r="AH23" s="586"/>
      <c r="AI23" s="585"/>
      <c r="AJ23" s="20"/>
      <c r="AK23" s="20"/>
      <c r="AL23" s="20"/>
      <c r="AM23" s="20"/>
      <c r="AN23" s="20"/>
      <c r="AO23" s="423">
        <v>89</v>
      </c>
      <c r="AP23" s="415">
        <v>35600</v>
      </c>
      <c r="AQ23" s="415">
        <v>217766.88999999998</v>
      </c>
      <c r="AR23" s="20">
        <v>1</v>
      </c>
      <c r="AS23" s="20">
        <v>0</v>
      </c>
      <c r="AT23" s="415"/>
      <c r="AU23" s="415">
        <v>217766.88999999998</v>
      </c>
      <c r="AV23" s="20" t="s">
        <v>244</v>
      </c>
      <c r="AW23" s="424">
        <v>0</v>
      </c>
      <c r="AX23" s="424">
        <v>217766.88999999998</v>
      </c>
      <c r="AY23" s="294">
        <v>174213.51</v>
      </c>
      <c r="AZ23" s="425" t="s">
        <v>576</v>
      </c>
      <c r="BA23" s="294">
        <v>43553.379999999976</v>
      </c>
      <c r="BB23" s="426"/>
      <c r="BC23" s="332"/>
      <c r="BD23" s="331"/>
      <c r="BE23" s="332"/>
      <c r="BF23" s="421"/>
      <c r="BG23" s="332"/>
      <c r="BH23" s="428"/>
      <c r="BI23" s="332"/>
      <c r="BJ23" s="431"/>
      <c r="BK23" s="332"/>
      <c r="BL23" s="431"/>
      <c r="BM23" s="332"/>
      <c r="BN23" s="431"/>
      <c r="BO23" s="332"/>
      <c r="BP23" s="431"/>
      <c r="BQ23" s="332"/>
      <c r="BR23" s="431"/>
      <c r="BS23" s="332"/>
      <c r="BT23" s="431"/>
      <c r="BU23" s="332"/>
      <c r="BV23" s="431"/>
      <c r="BW23" s="330">
        <v>174213.51</v>
      </c>
      <c r="BX23" s="429">
        <v>174213.51</v>
      </c>
      <c r="BY23" s="430">
        <v>1</v>
      </c>
      <c r="BZ23" s="430" t="s">
        <v>555</v>
      </c>
      <c r="CA23" s="430">
        <v>43553.379999999976</v>
      </c>
      <c r="CB23" s="20">
        <v>0</v>
      </c>
      <c r="CC23" s="329"/>
    </row>
    <row r="24" spans="1:81" x14ac:dyDescent="0.25">
      <c r="A24" s="329" t="s">
        <v>35</v>
      </c>
      <c r="B24" s="329" t="s">
        <v>96</v>
      </c>
      <c r="C24" s="329" t="s">
        <v>162</v>
      </c>
      <c r="D24" s="329" t="s">
        <v>778</v>
      </c>
      <c r="E24" s="329" t="s">
        <v>779</v>
      </c>
      <c r="F24" s="419" t="s">
        <v>281</v>
      </c>
      <c r="G24" s="420"/>
      <c r="H24" s="419"/>
      <c r="I24" s="329"/>
      <c r="J24" s="20">
        <v>2</v>
      </c>
      <c r="K24" s="20">
        <v>282</v>
      </c>
      <c r="L24" s="415">
        <v>4230</v>
      </c>
      <c r="M24" s="20">
        <v>31</v>
      </c>
      <c r="N24" s="20">
        <v>3549</v>
      </c>
      <c r="O24" s="415">
        <v>72283.47</v>
      </c>
      <c r="P24" s="20">
        <v>2</v>
      </c>
      <c r="Q24" s="20">
        <v>10</v>
      </c>
      <c r="R24" s="415">
        <v>1720</v>
      </c>
      <c r="S24" s="20">
        <v>2</v>
      </c>
      <c r="T24" s="20">
        <v>10</v>
      </c>
      <c r="U24" s="415">
        <v>1720</v>
      </c>
      <c r="V24" s="20"/>
      <c r="W24" s="585"/>
      <c r="X24" s="20"/>
      <c r="Y24" s="585"/>
      <c r="Z24" s="20"/>
      <c r="AA24" s="585"/>
      <c r="AB24" s="20"/>
      <c r="AC24" s="585"/>
      <c r="AD24" s="20"/>
      <c r="AE24" s="585"/>
      <c r="AF24" s="586"/>
      <c r="AG24" s="585"/>
      <c r="AH24" s="586"/>
      <c r="AI24" s="585"/>
      <c r="AJ24" s="20"/>
      <c r="AK24" s="20"/>
      <c r="AL24" s="20"/>
      <c r="AM24" s="20"/>
      <c r="AN24" s="20"/>
      <c r="AO24" s="423">
        <v>37</v>
      </c>
      <c r="AP24" s="415">
        <v>14800</v>
      </c>
      <c r="AQ24" s="415">
        <v>94753.47</v>
      </c>
      <c r="AR24" s="20">
        <v>1</v>
      </c>
      <c r="AS24" s="20">
        <v>0</v>
      </c>
      <c r="AT24" s="415"/>
      <c r="AU24" s="415">
        <v>94753.47</v>
      </c>
      <c r="AV24" s="20" t="s">
        <v>244</v>
      </c>
      <c r="AW24" s="424">
        <v>0</v>
      </c>
      <c r="AX24" s="424">
        <v>94753.47</v>
      </c>
      <c r="AY24" s="294">
        <v>75802.78</v>
      </c>
      <c r="AZ24" s="425" t="s">
        <v>576</v>
      </c>
      <c r="BA24" s="294">
        <v>18950.690000000002</v>
      </c>
      <c r="BB24" s="426"/>
      <c r="BC24" s="332"/>
      <c r="BD24" s="331"/>
      <c r="BE24" s="332"/>
      <c r="BF24" s="421"/>
      <c r="BG24" s="332"/>
      <c r="BH24" s="428"/>
      <c r="BI24" s="332"/>
      <c r="BJ24" s="431"/>
      <c r="BK24" s="332"/>
      <c r="BL24" s="431"/>
      <c r="BM24" s="332"/>
      <c r="BN24" s="431"/>
      <c r="BO24" s="332"/>
      <c r="BP24" s="431"/>
      <c r="BQ24" s="332"/>
      <c r="BR24" s="431"/>
      <c r="BS24" s="332"/>
      <c r="BT24" s="431"/>
      <c r="BU24" s="332"/>
      <c r="BV24" s="431"/>
      <c r="BW24" s="330">
        <v>75802.78</v>
      </c>
      <c r="BX24" s="429">
        <v>75802.78</v>
      </c>
      <c r="BY24" s="430">
        <v>1</v>
      </c>
      <c r="BZ24" s="430" t="s">
        <v>555</v>
      </c>
      <c r="CA24" s="430">
        <v>18950.690000000002</v>
      </c>
      <c r="CB24" s="20">
        <v>0</v>
      </c>
      <c r="CC24" s="329"/>
    </row>
    <row r="25" spans="1:81" x14ac:dyDescent="0.25">
      <c r="A25" s="329" t="s">
        <v>36</v>
      </c>
      <c r="B25" s="329" t="s">
        <v>97</v>
      </c>
      <c r="C25" s="329" t="s">
        <v>163</v>
      </c>
      <c r="D25" s="329" t="s">
        <v>780</v>
      </c>
      <c r="E25" s="329" t="s">
        <v>781</v>
      </c>
      <c r="F25" s="419" t="s">
        <v>282</v>
      </c>
      <c r="G25" s="420"/>
      <c r="H25" s="419"/>
      <c r="I25" s="329"/>
      <c r="J25" s="20">
        <v>80</v>
      </c>
      <c r="K25" s="20">
        <v>10675</v>
      </c>
      <c r="L25" s="415">
        <v>165375</v>
      </c>
      <c r="M25" s="20">
        <v>32</v>
      </c>
      <c r="N25" s="20">
        <v>3670</v>
      </c>
      <c r="O25" s="415">
        <v>74682.899999999994</v>
      </c>
      <c r="P25" s="20">
        <v>15</v>
      </c>
      <c r="Q25" s="20">
        <v>75</v>
      </c>
      <c r="R25" s="415">
        <v>12900</v>
      </c>
      <c r="S25" s="20">
        <v>11</v>
      </c>
      <c r="T25" s="20">
        <v>55</v>
      </c>
      <c r="U25" s="415">
        <v>9460</v>
      </c>
      <c r="V25" s="20"/>
      <c r="W25" s="585"/>
      <c r="X25" s="20"/>
      <c r="Y25" s="585"/>
      <c r="Z25" s="20"/>
      <c r="AA25" s="585"/>
      <c r="AB25" s="20"/>
      <c r="AC25" s="585"/>
      <c r="AD25" s="20"/>
      <c r="AE25" s="585"/>
      <c r="AF25" s="586"/>
      <c r="AG25" s="585"/>
      <c r="AH25" s="586"/>
      <c r="AI25" s="585"/>
      <c r="AJ25" s="20"/>
      <c r="AK25" s="20"/>
      <c r="AL25" s="20"/>
      <c r="AM25" s="20"/>
      <c r="AN25" s="20"/>
      <c r="AO25" s="423">
        <v>138</v>
      </c>
      <c r="AP25" s="415">
        <v>48740</v>
      </c>
      <c r="AQ25" s="415">
        <v>311157.90000000002</v>
      </c>
      <c r="AR25" s="20">
        <v>1</v>
      </c>
      <c r="AS25" s="20">
        <v>0</v>
      </c>
      <c r="AT25" s="415"/>
      <c r="AU25" s="415">
        <v>311157.90000000002</v>
      </c>
      <c r="AV25" s="20" t="s">
        <v>244</v>
      </c>
      <c r="AW25" s="424">
        <v>0</v>
      </c>
      <c r="AX25" s="424">
        <v>311157.90000000002</v>
      </c>
      <c r="AY25" s="294">
        <v>248926.32</v>
      </c>
      <c r="AZ25" s="425" t="s">
        <v>576</v>
      </c>
      <c r="BA25" s="294">
        <v>62231.580000000016</v>
      </c>
      <c r="BB25" s="426"/>
      <c r="BC25" s="427"/>
      <c r="BD25" s="331"/>
      <c r="BE25" s="332"/>
      <c r="BF25" s="421"/>
      <c r="BG25" s="332"/>
      <c r="BH25" s="428"/>
      <c r="BI25" s="332"/>
      <c r="BJ25" s="431"/>
      <c r="BK25" s="332"/>
      <c r="BL25" s="431"/>
      <c r="BM25" s="332"/>
      <c r="BN25" s="431"/>
      <c r="BO25" s="332"/>
      <c r="BP25" s="431"/>
      <c r="BQ25" s="332"/>
      <c r="BR25" s="431"/>
      <c r="BS25" s="332"/>
      <c r="BT25" s="431"/>
      <c r="BU25" s="332"/>
      <c r="BV25" s="431"/>
      <c r="BW25" s="330">
        <v>248926.32</v>
      </c>
      <c r="BX25" s="429">
        <v>248926.32</v>
      </c>
      <c r="BY25" s="430">
        <v>1</v>
      </c>
      <c r="BZ25" s="430" t="s">
        <v>555</v>
      </c>
      <c r="CA25" s="430">
        <v>62231.580000000016</v>
      </c>
      <c r="CB25" s="20">
        <v>0</v>
      </c>
      <c r="CC25" s="329"/>
    </row>
    <row r="26" spans="1:81" x14ac:dyDescent="0.25">
      <c r="A26" s="329" t="s">
        <v>37</v>
      </c>
      <c r="B26" s="329" t="s">
        <v>98</v>
      </c>
      <c r="C26" s="329" t="s">
        <v>774</v>
      </c>
      <c r="D26" s="329" t="s">
        <v>775</v>
      </c>
      <c r="E26" s="329"/>
      <c r="F26" s="329"/>
      <c r="G26" s="418"/>
      <c r="H26" s="329"/>
      <c r="I26" s="329"/>
      <c r="J26" s="20">
        <v>0</v>
      </c>
      <c r="K26" s="20">
        <v>0</v>
      </c>
      <c r="L26" s="415"/>
      <c r="M26" s="20">
        <v>0</v>
      </c>
      <c r="N26" s="20">
        <v>0</v>
      </c>
      <c r="O26" s="415"/>
      <c r="P26" s="20">
        <v>0</v>
      </c>
      <c r="Q26" s="20">
        <v>0</v>
      </c>
      <c r="R26" s="415"/>
      <c r="S26" s="20">
        <v>0</v>
      </c>
      <c r="T26" s="20">
        <v>0</v>
      </c>
      <c r="U26" s="415"/>
      <c r="V26" s="20"/>
      <c r="W26" s="585"/>
      <c r="X26" s="20"/>
      <c r="Y26" s="585"/>
      <c r="Z26" s="20"/>
      <c r="AA26" s="585"/>
      <c r="AB26" s="20"/>
      <c r="AC26" s="585"/>
      <c r="AD26" s="20"/>
      <c r="AE26" s="585"/>
      <c r="AF26" s="586"/>
      <c r="AG26" s="585"/>
      <c r="AH26" s="586"/>
      <c r="AI26" s="585"/>
      <c r="AJ26" s="20"/>
      <c r="AK26" s="20"/>
      <c r="AL26" s="20"/>
      <c r="AM26" s="20"/>
      <c r="AN26" s="20"/>
      <c r="AO26" s="423">
        <v>0</v>
      </c>
      <c r="AP26" s="415"/>
      <c r="AQ26" s="415"/>
      <c r="AR26" s="20">
        <v>1</v>
      </c>
      <c r="AS26" s="20">
        <v>0</v>
      </c>
      <c r="AT26" s="415"/>
      <c r="AU26" s="415"/>
      <c r="AV26" s="20" t="s">
        <v>774</v>
      </c>
      <c r="AW26" s="424" t="e">
        <v>#VALUE!</v>
      </c>
      <c r="AX26" s="424" t="e">
        <v>#VALUE!</v>
      </c>
      <c r="AY26" s="294" t="s">
        <v>774</v>
      </c>
      <c r="AZ26" s="425"/>
      <c r="BA26" s="294" t="e">
        <v>#VALUE!</v>
      </c>
      <c r="BB26" s="426"/>
      <c r="BC26" s="332"/>
      <c r="BD26" s="331"/>
      <c r="BE26" s="332"/>
      <c r="BF26" s="421"/>
      <c r="BG26" s="332"/>
      <c r="BH26" s="428"/>
      <c r="BI26" s="332"/>
      <c r="BJ26" s="431"/>
      <c r="BK26" s="332"/>
      <c r="BL26" s="431"/>
      <c r="BM26" s="332"/>
      <c r="BN26" s="431"/>
      <c r="BO26" s="332"/>
      <c r="BP26" s="431"/>
      <c r="BQ26" s="332"/>
      <c r="BR26" s="431"/>
      <c r="BS26" s="332"/>
      <c r="BT26" s="431"/>
      <c r="BU26" s="332"/>
      <c r="BV26" s="431"/>
      <c r="BW26" s="330" t="e">
        <v>#VALUE!</v>
      </c>
      <c r="BX26" s="429" t="e">
        <v>#VALUE!</v>
      </c>
      <c r="BY26" s="430">
        <v>0</v>
      </c>
      <c r="BZ26" s="430" t="s">
        <v>553</v>
      </c>
      <c r="CA26" s="430" t="s">
        <v>774</v>
      </c>
      <c r="CB26" s="20">
        <v>0</v>
      </c>
      <c r="CC26" s="329"/>
    </row>
    <row r="27" spans="1:81" x14ac:dyDescent="0.25">
      <c r="A27" s="329" t="s">
        <v>38</v>
      </c>
      <c r="B27" s="329" t="s">
        <v>215</v>
      </c>
      <c r="C27" s="329" t="s">
        <v>164</v>
      </c>
      <c r="D27" s="329" t="s">
        <v>782</v>
      </c>
      <c r="E27" s="329" t="s">
        <v>783</v>
      </c>
      <c r="F27" s="419" t="s">
        <v>892</v>
      </c>
      <c r="G27" s="420"/>
      <c r="H27" s="419"/>
      <c r="I27" s="329"/>
      <c r="J27" s="20">
        <v>4</v>
      </c>
      <c r="K27" s="20">
        <v>564</v>
      </c>
      <c r="L27" s="415">
        <v>8460</v>
      </c>
      <c r="M27" s="20">
        <v>1</v>
      </c>
      <c r="N27" s="20">
        <v>121</v>
      </c>
      <c r="O27" s="415">
        <v>2399.4299999999998</v>
      </c>
      <c r="P27" s="20">
        <v>4</v>
      </c>
      <c r="Q27" s="20">
        <v>20</v>
      </c>
      <c r="R27" s="415">
        <v>3440</v>
      </c>
      <c r="S27" s="20">
        <v>3</v>
      </c>
      <c r="T27" s="20">
        <v>15</v>
      </c>
      <c r="U27" s="415">
        <v>2580</v>
      </c>
      <c r="V27" s="20">
        <v>1</v>
      </c>
      <c r="W27" s="585">
        <v>6000</v>
      </c>
      <c r="X27" s="20"/>
      <c r="Y27" s="585"/>
      <c r="Z27" s="20"/>
      <c r="AA27" s="585"/>
      <c r="AB27" s="20"/>
      <c r="AC27" s="585"/>
      <c r="AD27" s="20"/>
      <c r="AE27" s="585"/>
      <c r="AF27" s="586"/>
      <c r="AG27" s="585"/>
      <c r="AH27" s="586">
        <v>15</v>
      </c>
      <c r="AI27" s="585">
        <v>6000</v>
      </c>
      <c r="AJ27" s="20"/>
      <c r="AK27" s="20"/>
      <c r="AL27" s="20"/>
      <c r="AM27" s="20"/>
      <c r="AN27" s="20"/>
      <c r="AO27" s="423">
        <v>12</v>
      </c>
      <c r="AP27" s="415">
        <v>4800</v>
      </c>
      <c r="AQ27" s="415">
        <v>27679.43</v>
      </c>
      <c r="AR27" s="20">
        <v>1</v>
      </c>
      <c r="AS27" s="20">
        <v>0</v>
      </c>
      <c r="AT27" s="415"/>
      <c r="AU27" s="415">
        <v>27679.43</v>
      </c>
      <c r="AV27" s="20" t="s">
        <v>244</v>
      </c>
      <c r="AW27" s="424">
        <v>0</v>
      </c>
      <c r="AX27" s="424">
        <v>27679.43</v>
      </c>
      <c r="AY27" s="294">
        <v>22143.54</v>
      </c>
      <c r="AZ27" s="425" t="s">
        <v>576</v>
      </c>
      <c r="BA27" s="294">
        <v>5535.8899999999994</v>
      </c>
      <c r="BB27" s="426"/>
      <c r="BC27" s="332"/>
      <c r="BD27" s="331"/>
      <c r="BE27" s="332"/>
      <c r="BF27" s="421"/>
      <c r="BG27" s="332"/>
      <c r="BH27" s="428"/>
      <c r="BI27" s="332"/>
      <c r="BJ27" s="431"/>
      <c r="BK27" s="332"/>
      <c r="BL27" s="431"/>
      <c r="BM27" s="332"/>
      <c r="BN27" s="431"/>
      <c r="BO27" s="332"/>
      <c r="BP27" s="431"/>
      <c r="BQ27" s="332"/>
      <c r="BR27" s="431"/>
      <c r="BS27" s="332"/>
      <c r="BT27" s="431"/>
      <c r="BU27" s="332"/>
      <c r="BV27" s="431"/>
      <c r="BW27" s="330">
        <v>22143.54</v>
      </c>
      <c r="BX27" s="429">
        <v>22143.54</v>
      </c>
      <c r="BY27" s="430">
        <v>1</v>
      </c>
      <c r="BZ27" s="430" t="s">
        <v>555</v>
      </c>
      <c r="CA27" s="430">
        <v>5535.8899999999994</v>
      </c>
      <c r="CB27" s="20">
        <v>0</v>
      </c>
      <c r="CC27" s="329"/>
    </row>
    <row r="28" spans="1:81" x14ac:dyDescent="0.25">
      <c r="A28" s="329" t="s">
        <v>121</v>
      </c>
      <c r="B28" s="329" t="s">
        <v>216</v>
      </c>
      <c r="C28" s="329" t="s">
        <v>165</v>
      </c>
      <c r="D28" s="329" t="s">
        <v>784</v>
      </c>
      <c r="E28" s="329" t="s">
        <v>785</v>
      </c>
      <c r="F28" s="419" t="s">
        <v>893</v>
      </c>
      <c r="G28" s="420"/>
      <c r="H28" s="419"/>
      <c r="I28" s="329"/>
      <c r="J28" s="20">
        <v>0</v>
      </c>
      <c r="K28" s="20">
        <v>0</v>
      </c>
      <c r="L28" s="415"/>
      <c r="M28" s="20">
        <v>0</v>
      </c>
      <c r="N28" s="20">
        <v>0</v>
      </c>
      <c r="O28" s="415"/>
      <c r="P28" s="20">
        <v>0</v>
      </c>
      <c r="Q28" s="20">
        <v>0</v>
      </c>
      <c r="R28" s="415"/>
      <c r="S28" s="20">
        <v>11</v>
      </c>
      <c r="T28" s="20">
        <v>55</v>
      </c>
      <c r="U28" s="415">
        <v>9460</v>
      </c>
      <c r="V28" s="20"/>
      <c r="W28" s="585"/>
      <c r="X28" s="20"/>
      <c r="Y28" s="585"/>
      <c r="Z28" s="20"/>
      <c r="AA28" s="585"/>
      <c r="AB28" s="20"/>
      <c r="AC28" s="585"/>
      <c r="AD28" s="20"/>
      <c r="AE28" s="585"/>
      <c r="AF28" s="586"/>
      <c r="AG28" s="585"/>
      <c r="AH28" s="586"/>
      <c r="AI28" s="585"/>
      <c r="AJ28" s="20"/>
      <c r="AK28" s="20"/>
      <c r="AL28" s="20"/>
      <c r="AM28" s="20"/>
      <c r="AN28" s="20"/>
      <c r="AO28" s="423">
        <v>11</v>
      </c>
      <c r="AP28" s="415">
        <v>4400</v>
      </c>
      <c r="AQ28" s="415">
        <v>13860</v>
      </c>
      <c r="AR28" s="20">
        <v>1</v>
      </c>
      <c r="AS28" s="20">
        <v>0</v>
      </c>
      <c r="AT28" s="415"/>
      <c r="AU28" s="415">
        <v>13860</v>
      </c>
      <c r="AV28" s="20" t="s">
        <v>244</v>
      </c>
      <c r="AW28" s="424">
        <v>0</v>
      </c>
      <c r="AX28" s="424">
        <v>13860</v>
      </c>
      <c r="AY28" s="294">
        <v>11088</v>
      </c>
      <c r="AZ28" s="425" t="s">
        <v>576</v>
      </c>
      <c r="BA28" s="294">
        <v>2772</v>
      </c>
      <c r="BB28" s="426"/>
      <c r="BC28" s="332"/>
      <c r="BD28" s="331"/>
      <c r="BE28" s="332"/>
      <c r="BF28" s="421"/>
      <c r="BG28" s="332"/>
      <c r="BH28" s="428"/>
      <c r="BI28" s="332"/>
      <c r="BJ28" s="431"/>
      <c r="BK28" s="332"/>
      <c r="BL28" s="431"/>
      <c r="BM28" s="332"/>
      <c r="BN28" s="431"/>
      <c r="BO28" s="332"/>
      <c r="BP28" s="431"/>
      <c r="BQ28" s="332"/>
      <c r="BR28" s="431"/>
      <c r="BS28" s="332"/>
      <c r="BT28" s="431"/>
      <c r="BU28" s="332"/>
      <c r="BV28" s="431"/>
      <c r="BW28" s="330">
        <v>11088</v>
      </c>
      <c r="BX28" s="429">
        <v>11088</v>
      </c>
      <c r="BY28" s="430">
        <v>1</v>
      </c>
      <c r="BZ28" s="430" t="s">
        <v>555</v>
      </c>
      <c r="CA28" s="430">
        <v>2772</v>
      </c>
      <c r="CB28" s="20">
        <v>0</v>
      </c>
      <c r="CC28" s="329"/>
    </row>
    <row r="29" spans="1:81" x14ac:dyDescent="0.25">
      <c r="A29" s="329" t="s">
        <v>39</v>
      </c>
      <c r="B29" s="329" t="s">
        <v>117</v>
      </c>
      <c r="C29" s="329" t="s">
        <v>166</v>
      </c>
      <c r="D29" s="329" t="s">
        <v>786</v>
      </c>
      <c r="E29" s="329" t="s">
        <v>787</v>
      </c>
      <c r="F29" s="419" t="s">
        <v>283</v>
      </c>
      <c r="G29" s="420"/>
      <c r="H29" s="419"/>
      <c r="I29" s="329"/>
      <c r="J29" s="20">
        <v>108</v>
      </c>
      <c r="K29" s="20">
        <v>14381</v>
      </c>
      <c r="L29" s="415">
        <v>223065</v>
      </c>
      <c r="M29" s="20">
        <v>320</v>
      </c>
      <c r="N29" s="20">
        <v>36498</v>
      </c>
      <c r="O29" s="415">
        <v>744730.1399999999</v>
      </c>
      <c r="P29" s="20">
        <v>10</v>
      </c>
      <c r="Q29" s="20">
        <v>50</v>
      </c>
      <c r="R29" s="415">
        <v>8600</v>
      </c>
      <c r="S29" s="20">
        <v>8</v>
      </c>
      <c r="T29" s="20">
        <v>40</v>
      </c>
      <c r="U29" s="415">
        <v>6880</v>
      </c>
      <c r="V29" s="20"/>
      <c r="W29" s="585"/>
      <c r="X29" s="20"/>
      <c r="Y29" s="585"/>
      <c r="Z29" s="20"/>
      <c r="AA29" s="585"/>
      <c r="AB29" s="20"/>
      <c r="AC29" s="585"/>
      <c r="AD29" s="20"/>
      <c r="AE29" s="585"/>
      <c r="AF29" s="586">
        <v>1</v>
      </c>
      <c r="AG29" s="585">
        <v>8000</v>
      </c>
      <c r="AH29" s="586">
        <v>30</v>
      </c>
      <c r="AI29" s="585">
        <v>8000</v>
      </c>
      <c r="AJ29" s="20"/>
      <c r="AK29" s="20"/>
      <c r="AL29" s="20"/>
      <c r="AM29" s="20"/>
      <c r="AN29" s="20"/>
      <c r="AO29" s="423">
        <v>446</v>
      </c>
      <c r="AP29" s="415">
        <v>119580</v>
      </c>
      <c r="AQ29" s="415">
        <v>1110855.1399999999</v>
      </c>
      <c r="AR29" s="20">
        <v>1</v>
      </c>
      <c r="AS29" s="20">
        <v>0</v>
      </c>
      <c r="AT29" s="415"/>
      <c r="AU29" s="415">
        <v>1110855.1399999999</v>
      </c>
      <c r="AV29" s="20" t="s">
        <v>247</v>
      </c>
      <c r="AW29" s="424">
        <v>0</v>
      </c>
      <c r="AX29" s="424">
        <v>1110855.1399999999</v>
      </c>
      <c r="AY29" s="294">
        <v>444342.06</v>
      </c>
      <c r="AZ29" s="425" t="s">
        <v>576</v>
      </c>
      <c r="BA29" s="294">
        <v>444342.06</v>
      </c>
      <c r="BB29" s="426"/>
      <c r="BC29" s="294">
        <v>222171.01999999984</v>
      </c>
      <c r="BD29" s="426"/>
      <c r="BE29" s="332"/>
      <c r="BF29" s="421"/>
      <c r="BG29" s="332"/>
      <c r="BH29" s="428"/>
      <c r="BI29" s="332"/>
      <c r="BJ29" s="431"/>
      <c r="BK29" s="332"/>
      <c r="BL29" s="431"/>
      <c r="BM29" s="332"/>
      <c r="BN29" s="431"/>
      <c r="BO29" s="332"/>
      <c r="BP29" s="431"/>
      <c r="BQ29" s="332"/>
      <c r="BR29" s="431"/>
      <c r="BS29" s="332"/>
      <c r="BT29" s="431"/>
      <c r="BU29" s="332"/>
      <c r="BV29" s="431"/>
      <c r="BW29" s="330">
        <v>444342.06</v>
      </c>
      <c r="BX29" s="429">
        <v>444342.06</v>
      </c>
      <c r="BY29" s="430">
        <v>1</v>
      </c>
      <c r="BZ29" s="430" t="s">
        <v>555</v>
      </c>
      <c r="CA29" s="430">
        <v>444342.06</v>
      </c>
      <c r="CB29" s="20">
        <v>0</v>
      </c>
      <c r="CC29" s="329"/>
    </row>
    <row r="30" spans="1:81" x14ac:dyDescent="0.25">
      <c r="A30" s="329" t="s">
        <v>40</v>
      </c>
      <c r="B30" s="329" t="s">
        <v>124</v>
      </c>
      <c r="C30" s="329" t="s">
        <v>167</v>
      </c>
      <c r="D30" s="329" t="s">
        <v>788</v>
      </c>
      <c r="E30" s="329" t="s">
        <v>789</v>
      </c>
      <c r="F30" s="419" t="s">
        <v>284</v>
      </c>
      <c r="G30" s="420"/>
      <c r="H30" s="419"/>
      <c r="I30" s="329"/>
      <c r="J30" s="20">
        <v>13</v>
      </c>
      <c r="K30" s="20">
        <v>1833</v>
      </c>
      <c r="L30" s="415">
        <v>27495</v>
      </c>
      <c r="M30" s="20">
        <v>10</v>
      </c>
      <c r="N30" s="20">
        <v>1210</v>
      </c>
      <c r="O30" s="415">
        <v>23994.3</v>
      </c>
      <c r="P30" s="20">
        <v>8</v>
      </c>
      <c r="Q30" s="20">
        <v>40</v>
      </c>
      <c r="R30" s="415">
        <v>6880</v>
      </c>
      <c r="S30" s="20">
        <v>27</v>
      </c>
      <c r="T30" s="20">
        <v>135</v>
      </c>
      <c r="U30" s="415">
        <v>23220</v>
      </c>
      <c r="V30" s="20"/>
      <c r="W30" s="585"/>
      <c r="X30" s="20"/>
      <c r="Y30" s="585"/>
      <c r="Z30" s="20"/>
      <c r="AA30" s="585"/>
      <c r="AB30" s="20"/>
      <c r="AC30" s="585"/>
      <c r="AD30" s="20"/>
      <c r="AE30" s="585"/>
      <c r="AF30" s="586"/>
      <c r="AG30" s="585"/>
      <c r="AH30" s="586"/>
      <c r="AI30" s="585"/>
      <c r="AJ30" s="20"/>
      <c r="AK30" s="20"/>
      <c r="AL30" s="20"/>
      <c r="AM30" s="20"/>
      <c r="AN30" s="20"/>
      <c r="AO30" s="423">
        <v>58</v>
      </c>
      <c r="AP30" s="415">
        <v>23200</v>
      </c>
      <c r="AQ30" s="415">
        <v>104789.3</v>
      </c>
      <c r="AR30" s="20">
        <v>1</v>
      </c>
      <c r="AS30" s="20">
        <v>0</v>
      </c>
      <c r="AT30" s="415"/>
      <c r="AU30" s="415">
        <v>104789.3</v>
      </c>
      <c r="AV30" s="20" t="s">
        <v>244</v>
      </c>
      <c r="AW30" s="424">
        <v>0</v>
      </c>
      <c r="AX30" s="424">
        <v>104789.3</v>
      </c>
      <c r="AY30" s="294">
        <v>83831.44</v>
      </c>
      <c r="AZ30" s="425" t="s">
        <v>576</v>
      </c>
      <c r="BA30" s="294">
        <v>20957.86</v>
      </c>
      <c r="BB30" s="426"/>
      <c r="BC30" s="332"/>
      <c r="BD30" s="331"/>
      <c r="BE30" s="332"/>
      <c r="BF30" s="421"/>
      <c r="BG30" s="332"/>
      <c r="BH30" s="428"/>
      <c r="BI30" s="332"/>
      <c r="BJ30" s="431"/>
      <c r="BK30" s="332"/>
      <c r="BL30" s="431"/>
      <c r="BM30" s="332"/>
      <c r="BN30" s="431"/>
      <c r="BO30" s="332"/>
      <c r="BP30" s="431"/>
      <c r="BQ30" s="332"/>
      <c r="BR30" s="431"/>
      <c r="BS30" s="332"/>
      <c r="BT30" s="431"/>
      <c r="BU30" s="332"/>
      <c r="BV30" s="431"/>
      <c r="BW30" s="330">
        <v>83831.44</v>
      </c>
      <c r="BX30" s="429">
        <v>83831.44</v>
      </c>
      <c r="BY30" s="430">
        <v>1</v>
      </c>
      <c r="BZ30" s="430" t="s">
        <v>555</v>
      </c>
      <c r="CA30" s="430">
        <v>20957.86</v>
      </c>
      <c r="CB30" s="20">
        <v>0</v>
      </c>
      <c r="CC30" s="329"/>
    </row>
    <row r="31" spans="1:81" x14ac:dyDescent="0.25">
      <c r="A31" s="329" t="s">
        <v>133</v>
      </c>
      <c r="B31" s="329" t="s">
        <v>136</v>
      </c>
      <c r="C31" s="329" t="s">
        <v>168</v>
      </c>
      <c r="D31" s="329" t="s">
        <v>790</v>
      </c>
      <c r="E31" s="329" t="s">
        <v>791</v>
      </c>
      <c r="F31" s="419" t="s">
        <v>285</v>
      </c>
      <c r="G31" s="420"/>
      <c r="H31" s="419" t="s">
        <v>901</v>
      </c>
      <c r="I31" s="329"/>
      <c r="J31" s="20">
        <v>2</v>
      </c>
      <c r="K31" s="20">
        <v>282</v>
      </c>
      <c r="L31" s="415">
        <v>4230</v>
      </c>
      <c r="M31" s="20">
        <v>4</v>
      </c>
      <c r="N31" s="20">
        <v>484</v>
      </c>
      <c r="O31" s="415">
        <v>9597.7199999999993</v>
      </c>
      <c r="P31" s="20">
        <v>0</v>
      </c>
      <c r="Q31" s="20">
        <v>0</v>
      </c>
      <c r="R31" s="415"/>
      <c r="S31" s="20">
        <v>0</v>
      </c>
      <c r="T31" s="20">
        <v>0</v>
      </c>
      <c r="U31" s="415"/>
      <c r="V31" s="20"/>
      <c r="W31" s="585"/>
      <c r="X31" s="20"/>
      <c r="Y31" s="585"/>
      <c r="Z31" s="20"/>
      <c r="AA31" s="585"/>
      <c r="AB31" s="20"/>
      <c r="AC31" s="585"/>
      <c r="AD31" s="20"/>
      <c r="AE31" s="585"/>
      <c r="AF31" s="586"/>
      <c r="AG31" s="585"/>
      <c r="AH31" s="586"/>
      <c r="AI31" s="585"/>
      <c r="AJ31" s="20"/>
      <c r="AK31" s="20"/>
      <c r="AL31" s="20"/>
      <c r="AM31" s="20"/>
      <c r="AN31" s="20"/>
      <c r="AO31" s="423">
        <v>6</v>
      </c>
      <c r="AP31" s="415">
        <v>2400</v>
      </c>
      <c r="AQ31" s="415">
        <v>16227.72</v>
      </c>
      <c r="AR31" s="20">
        <v>1</v>
      </c>
      <c r="AS31" s="20">
        <v>0</v>
      </c>
      <c r="AT31" s="415"/>
      <c r="AU31" s="415">
        <v>16227.72</v>
      </c>
      <c r="AV31" s="20" t="s">
        <v>244</v>
      </c>
      <c r="AW31" s="424">
        <v>0</v>
      </c>
      <c r="AX31" s="424">
        <v>16227.72</v>
      </c>
      <c r="AY31" s="294">
        <v>12982.18</v>
      </c>
      <c r="AZ31" s="425" t="s">
        <v>576</v>
      </c>
      <c r="BA31" s="294">
        <v>3245.5399999999991</v>
      </c>
      <c r="BB31" s="426"/>
      <c r="BC31" s="332"/>
      <c r="BD31" s="331"/>
      <c r="BE31" s="332"/>
      <c r="BF31" s="421"/>
      <c r="BG31" s="332"/>
      <c r="BH31" s="428"/>
      <c r="BI31" s="332"/>
      <c r="BJ31" s="431"/>
      <c r="BK31" s="332"/>
      <c r="BL31" s="431"/>
      <c r="BM31" s="332"/>
      <c r="BN31" s="431"/>
      <c r="BO31" s="332"/>
      <c r="BP31" s="431"/>
      <c r="BQ31" s="332"/>
      <c r="BR31" s="431"/>
      <c r="BS31" s="332"/>
      <c r="BT31" s="431"/>
      <c r="BU31" s="332"/>
      <c r="BV31" s="431"/>
      <c r="BW31" s="330">
        <v>12982.18</v>
      </c>
      <c r="BX31" s="429">
        <v>12982.18</v>
      </c>
      <c r="BY31" s="430">
        <v>1</v>
      </c>
      <c r="BZ31" s="430" t="s">
        <v>555</v>
      </c>
      <c r="CA31" s="430">
        <v>3245.5399999999991</v>
      </c>
      <c r="CB31" s="20">
        <v>0</v>
      </c>
      <c r="CC31" s="329"/>
    </row>
    <row r="32" spans="1:81" x14ac:dyDescent="0.25">
      <c r="A32" s="329" t="s">
        <v>41</v>
      </c>
      <c r="B32" s="329" t="s">
        <v>99</v>
      </c>
      <c r="C32" s="329" t="s">
        <v>169</v>
      </c>
      <c r="D32" s="329" t="s">
        <v>792</v>
      </c>
      <c r="E32" s="329" t="s">
        <v>793</v>
      </c>
      <c r="F32" s="419" t="s">
        <v>286</v>
      </c>
      <c r="G32" s="420"/>
      <c r="H32" s="419"/>
      <c r="I32" s="329"/>
      <c r="J32" s="20">
        <v>210</v>
      </c>
      <c r="K32" s="20">
        <v>27916</v>
      </c>
      <c r="L32" s="415">
        <v>433440</v>
      </c>
      <c r="M32" s="20">
        <v>31</v>
      </c>
      <c r="N32" s="20">
        <v>3549</v>
      </c>
      <c r="O32" s="415">
        <v>72283.47</v>
      </c>
      <c r="P32" s="20">
        <v>5</v>
      </c>
      <c r="Q32" s="20">
        <v>25</v>
      </c>
      <c r="R32" s="415">
        <v>4300</v>
      </c>
      <c r="S32" s="20">
        <v>4</v>
      </c>
      <c r="T32" s="20">
        <v>20</v>
      </c>
      <c r="U32" s="415">
        <v>3440</v>
      </c>
      <c r="V32" s="20"/>
      <c r="W32" s="585"/>
      <c r="X32" s="20"/>
      <c r="Y32" s="585"/>
      <c r="Z32" s="20"/>
      <c r="AA32" s="585"/>
      <c r="AB32" s="20"/>
      <c r="AC32" s="585"/>
      <c r="AD32" s="20"/>
      <c r="AE32" s="585"/>
      <c r="AF32" s="586"/>
      <c r="AG32" s="585"/>
      <c r="AH32" s="586"/>
      <c r="AI32" s="585"/>
      <c r="AJ32" s="20"/>
      <c r="AK32" s="20"/>
      <c r="AL32" s="20"/>
      <c r="AM32" s="20"/>
      <c r="AN32" s="20"/>
      <c r="AO32" s="423">
        <v>250</v>
      </c>
      <c r="AP32" s="415">
        <v>74500</v>
      </c>
      <c r="AQ32" s="415">
        <v>587963.47</v>
      </c>
      <c r="AR32" s="20">
        <v>1</v>
      </c>
      <c r="AS32" s="20">
        <v>0</v>
      </c>
      <c r="AT32" s="415"/>
      <c r="AU32" s="415">
        <v>587963.47</v>
      </c>
      <c r="AV32" s="20" t="s">
        <v>247</v>
      </c>
      <c r="AW32" s="424">
        <v>0</v>
      </c>
      <c r="AX32" s="424">
        <v>587963.47</v>
      </c>
      <c r="AY32" s="294">
        <v>235185.39</v>
      </c>
      <c r="AZ32" s="425" t="s">
        <v>576</v>
      </c>
      <c r="BA32" s="294">
        <v>235185.39</v>
      </c>
      <c r="BB32" s="426"/>
      <c r="BC32" s="294">
        <v>117592.68999999994</v>
      </c>
      <c r="BD32" s="426"/>
      <c r="BE32" s="427"/>
      <c r="BF32" s="331"/>
      <c r="BG32" s="427"/>
      <c r="BH32" s="428"/>
      <c r="BI32" s="332"/>
      <c r="BJ32" s="431"/>
      <c r="BK32" s="332"/>
      <c r="BL32" s="431"/>
      <c r="BM32" s="332"/>
      <c r="BN32" s="431"/>
      <c r="BO32" s="332"/>
      <c r="BP32" s="431"/>
      <c r="BQ32" s="332"/>
      <c r="BR32" s="431"/>
      <c r="BS32" s="332"/>
      <c r="BT32" s="431"/>
      <c r="BU32" s="332"/>
      <c r="BV32" s="431"/>
      <c r="BW32" s="330">
        <v>235185.39</v>
      </c>
      <c r="BX32" s="429">
        <v>235185.39</v>
      </c>
      <c r="BY32" s="430">
        <v>1</v>
      </c>
      <c r="BZ32" s="430" t="s">
        <v>555</v>
      </c>
      <c r="CA32" s="430">
        <v>235185.39</v>
      </c>
      <c r="CB32" s="20">
        <v>0</v>
      </c>
      <c r="CC32" s="329"/>
    </row>
    <row r="33" spans="1:81" x14ac:dyDescent="0.25">
      <c r="A33" s="329" t="s">
        <v>42</v>
      </c>
      <c r="B33" s="329" t="s">
        <v>137</v>
      </c>
      <c r="C33" s="329" t="s">
        <v>170</v>
      </c>
      <c r="D33" s="329" t="s">
        <v>794</v>
      </c>
      <c r="E33" s="329" t="s">
        <v>795</v>
      </c>
      <c r="F33" s="419" t="s">
        <v>287</v>
      </c>
      <c r="G33" s="420"/>
      <c r="H33" s="419"/>
      <c r="I33" s="329"/>
      <c r="J33" s="20">
        <v>48</v>
      </c>
      <c r="K33" s="20">
        <v>6405</v>
      </c>
      <c r="L33" s="415">
        <v>99225</v>
      </c>
      <c r="M33" s="20">
        <v>36</v>
      </c>
      <c r="N33" s="20">
        <v>4154</v>
      </c>
      <c r="O33" s="415">
        <v>84280.62</v>
      </c>
      <c r="P33" s="20">
        <v>4</v>
      </c>
      <c r="Q33" s="20">
        <v>20</v>
      </c>
      <c r="R33" s="415">
        <v>3440</v>
      </c>
      <c r="S33" s="20">
        <v>11</v>
      </c>
      <c r="T33" s="20">
        <v>55</v>
      </c>
      <c r="U33" s="415">
        <v>9460</v>
      </c>
      <c r="V33" s="20">
        <v>2</v>
      </c>
      <c r="W33" s="585">
        <v>12000</v>
      </c>
      <c r="X33" s="20"/>
      <c r="Y33" s="585"/>
      <c r="Z33" s="20"/>
      <c r="AA33" s="585"/>
      <c r="AB33" s="20"/>
      <c r="AC33" s="585"/>
      <c r="AD33" s="20"/>
      <c r="AE33" s="585"/>
      <c r="AF33" s="586"/>
      <c r="AG33" s="585"/>
      <c r="AH33" s="586">
        <v>30</v>
      </c>
      <c r="AI33" s="585">
        <v>12000</v>
      </c>
      <c r="AJ33" s="20"/>
      <c r="AK33" s="20"/>
      <c r="AL33" s="20"/>
      <c r="AM33" s="20"/>
      <c r="AN33" s="20"/>
      <c r="AO33" s="423">
        <v>99</v>
      </c>
      <c r="AP33" s="415">
        <v>39600</v>
      </c>
      <c r="AQ33" s="415">
        <v>248005.62</v>
      </c>
      <c r="AR33" s="20">
        <v>1</v>
      </c>
      <c r="AS33" s="20">
        <v>0</v>
      </c>
      <c r="AT33" s="415"/>
      <c r="AU33" s="415">
        <v>248005.62</v>
      </c>
      <c r="AV33" s="20" t="s">
        <v>244</v>
      </c>
      <c r="AW33" s="424">
        <v>0</v>
      </c>
      <c r="AX33" s="424">
        <v>248005.62</v>
      </c>
      <c r="AY33" s="294">
        <v>198404.5</v>
      </c>
      <c r="AZ33" s="425" t="s">
        <v>576</v>
      </c>
      <c r="BA33" s="294">
        <v>49601.119999999995</v>
      </c>
      <c r="BB33" s="426"/>
      <c r="BC33" s="332"/>
      <c r="BD33" s="331"/>
      <c r="BE33" s="433"/>
      <c r="BF33" s="434"/>
      <c r="BG33" s="332"/>
      <c r="BH33" s="428"/>
      <c r="BI33" s="332"/>
      <c r="BJ33" s="431"/>
      <c r="BK33" s="332"/>
      <c r="BL33" s="431"/>
      <c r="BM33" s="332"/>
      <c r="BN33" s="431"/>
      <c r="BO33" s="332"/>
      <c r="BP33" s="431"/>
      <c r="BQ33" s="332"/>
      <c r="BR33" s="431"/>
      <c r="BS33" s="332"/>
      <c r="BT33" s="431"/>
      <c r="BU33" s="332"/>
      <c r="BV33" s="431"/>
      <c r="BW33" s="330">
        <v>198404.5</v>
      </c>
      <c r="BX33" s="429">
        <v>198404.5</v>
      </c>
      <c r="BY33" s="430">
        <v>1</v>
      </c>
      <c r="BZ33" s="430" t="s">
        <v>555</v>
      </c>
      <c r="CA33" s="430">
        <v>49601.119999999995</v>
      </c>
      <c r="CB33" s="20">
        <v>0</v>
      </c>
      <c r="CC33" s="329"/>
    </row>
    <row r="34" spans="1:81" x14ac:dyDescent="0.25">
      <c r="A34" s="329" t="s">
        <v>43</v>
      </c>
      <c r="B34" s="329" t="s">
        <v>100</v>
      </c>
      <c r="C34" s="329" t="s">
        <v>171</v>
      </c>
      <c r="D34" s="329" t="s">
        <v>796</v>
      </c>
      <c r="E34" s="329" t="s">
        <v>797</v>
      </c>
      <c r="F34" s="419" t="s">
        <v>288</v>
      </c>
      <c r="G34" s="420"/>
      <c r="H34" s="419"/>
      <c r="I34" s="329"/>
      <c r="J34" s="20">
        <v>152</v>
      </c>
      <c r="K34" s="20">
        <v>20222</v>
      </c>
      <c r="L34" s="415">
        <v>313830</v>
      </c>
      <c r="M34" s="20">
        <v>24</v>
      </c>
      <c r="N34" s="20">
        <v>2803</v>
      </c>
      <c r="O34" s="415">
        <v>56536.889999999992</v>
      </c>
      <c r="P34" s="20">
        <v>21</v>
      </c>
      <c r="Q34" s="20">
        <v>105</v>
      </c>
      <c r="R34" s="415">
        <v>18060</v>
      </c>
      <c r="S34" s="20">
        <v>14</v>
      </c>
      <c r="T34" s="20">
        <v>70</v>
      </c>
      <c r="U34" s="415">
        <v>12040</v>
      </c>
      <c r="V34" s="20"/>
      <c r="W34" s="585"/>
      <c r="X34" s="20"/>
      <c r="Y34" s="585"/>
      <c r="Z34" s="20"/>
      <c r="AA34" s="585"/>
      <c r="AB34" s="20"/>
      <c r="AC34" s="585"/>
      <c r="AD34" s="20"/>
      <c r="AE34" s="585"/>
      <c r="AF34" s="586">
        <v>2</v>
      </c>
      <c r="AG34" s="585">
        <v>16000</v>
      </c>
      <c r="AH34" s="586">
        <v>40</v>
      </c>
      <c r="AI34" s="585">
        <v>16000</v>
      </c>
      <c r="AJ34" s="20"/>
      <c r="AK34" s="20"/>
      <c r="AL34" s="20"/>
      <c r="AM34" s="20"/>
      <c r="AN34" s="20"/>
      <c r="AO34" s="423">
        <v>211</v>
      </c>
      <c r="AP34" s="415">
        <v>65530</v>
      </c>
      <c r="AQ34" s="415">
        <v>481996.89</v>
      </c>
      <c r="AR34" s="20">
        <v>1</v>
      </c>
      <c r="AS34" s="20">
        <v>0</v>
      </c>
      <c r="AT34" s="415"/>
      <c r="AU34" s="415">
        <v>481996.89</v>
      </c>
      <c r="AV34" s="20" t="s">
        <v>244</v>
      </c>
      <c r="AW34" s="424">
        <v>0</v>
      </c>
      <c r="AX34" s="424">
        <v>481996.89</v>
      </c>
      <c r="AY34" s="294">
        <v>385597.51</v>
      </c>
      <c r="AZ34" s="425" t="s">
        <v>576</v>
      </c>
      <c r="BA34" s="294">
        <v>96399.38</v>
      </c>
      <c r="BB34" s="426"/>
      <c r="BC34" s="332"/>
      <c r="BD34" s="331"/>
      <c r="BE34" s="332"/>
      <c r="BF34" s="421"/>
      <c r="BG34" s="427"/>
      <c r="BH34" s="428"/>
      <c r="BI34" s="332"/>
      <c r="BJ34" s="431"/>
      <c r="BK34" s="332"/>
      <c r="BL34" s="431"/>
      <c r="BM34" s="332"/>
      <c r="BN34" s="431"/>
      <c r="BO34" s="332"/>
      <c r="BP34" s="431"/>
      <c r="BQ34" s="332"/>
      <c r="BR34" s="431"/>
      <c r="BS34" s="332"/>
      <c r="BT34" s="431"/>
      <c r="BU34" s="332"/>
      <c r="BV34" s="431"/>
      <c r="BW34" s="330">
        <v>385597.51</v>
      </c>
      <c r="BX34" s="429">
        <v>385597.51</v>
      </c>
      <c r="BY34" s="430">
        <v>1</v>
      </c>
      <c r="BZ34" s="430" t="s">
        <v>555</v>
      </c>
      <c r="CA34" s="430">
        <v>96399.38</v>
      </c>
      <c r="CB34" s="20">
        <v>0</v>
      </c>
      <c r="CC34" s="329"/>
    </row>
    <row r="35" spans="1:81" x14ac:dyDescent="0.25">
      <c r="A35" s="329" t="s">
        <v>44</v>
      </c>
      <c r="B35" s="329" t="s">
        <v>125</v>
      </c>
      <c r="C35" s="329" t="s">
        <v>172</v>
      </c>
      <c r="D35" s="329" t="s">
        <v>798</v>
      </c>
      <c r="E35" s="329" t="s">
        <v>799</v>
      </c>
      <c r="F35" s="419" t="s">
        <v>666</v>
      </c>
      <c r="G35" s="420"/>
      <c r="H35" s="419"/>
      <c r="I35" s="329"/>
      <c r="J35" s="20">
        <v>36</v>
      </c>
      <c r="K35" s="20">
        <v>4834</v>
      </c>
      <c r="L35" s="415">
        <v>74610</v>
      </c>
      <c r="M35" s="20">
        <v>11</v>
      </c>
      <c r="N35" s="20">
        <v>1331</v>
      </c>
      <c r="O35" s="415">
        <v>26393.729999999996</v>
      </c>
      <c r="P35" s="20">
        <v>4</v>
      </c>
      <c r="Q35" s="20">
        <v>20</v>
      </c>
      <c r="R35" s="415">
        <v>3440</v>
      </c>
      <c r="S35" s="20">
        <v>4</v>
      </c>
      <c r="T35" s="20">
        <v>20</v>
      </c>
      <c r="U35" s="415">
        <v>3440</v>
      </c>
      <c r="V35" s="20"/>
      <c r="W35" s="585"/>
      <c r="X35" s="20"/>
      <c r="Y35" s="585"/>
      <c r="Z35" s="20"/>
      <c r="AA35" s="585"/>
      <c r="AB35" s="20"/>
      <c r="AC35" s="585"/>
      <c r="AD35" s="20"/>
      <c r="AE35" s="585"/>
      <c r="AF35" s="586"/>
      <c r="AG35" s="585"/>
      <c r="AH35" s="586"/>
      <c r="AI35" s="585"/>
      <c r="AJ35" s="20"/>
      <c r="AK35" s="20"/>
      <c r="AL35" s="20"/>
      <c r="AM35" s="20"/>
      <c r="AN35" s="20"/>
      <c r="AO35" s="423">
        <v>55</v>
      </c>
      <c r="AP35" s="415">
        <v>22000</v>
      </c>
      <c r="AQ35" s="415">
        <v>129883.73</v>
      </c>
      <c r="AR35" s="20">
        <v>1</v>
      </c>
      <c r="AS35" s="20">
        <v>0</v>
      </c>
      <c r="AT35" s="415"/>
      <c r="AU35" s="415">
        <v>129883.73</v>
      </c>
      <c r="AV35" s="20" t="s">
        <v>244</v>
      </c>
      <c r="AW35" s="424">
        <v>0</v>
      </c>
      <c r="AX35" s="424">
        <v>129883.73</v>
      </c>
      <c r="AY35" s="294">
        <v>103906.98</v>
      </c>
      <c r="AZ35" s="425" t="s">
        <v>576</v>
      </c>
      <c r="BA35" s="294">
        <v>25976.75</v>
      </c>
      <c r="BB35" s="426"/>
      <c r="BC35" s="332"/>
      <c r="BD35" s="331"/>
      <c r="BE35" s="332"/>
      <c r="BF35" s="421"/>
      <c r="BG35" s="332"/>
      <c r="BH35" s="428"/>
      <c r="BI35" s="332"/>
      <c r="BJ35" s="431"/>
      <c r="BK35" s="332"/>
      <c r="BL35" s="431"/>
      <c r="BM35" s="332"/>
      <c r="BN35" s="431"/>
      <c r="BO35" s="332"/>
      <c r="BP35" s="431"/>
      <c r="BQ35" s="332"/>
      <c r="BR35" s="431"/>
      <c r="BS35" s="332"/>
      <c r="BT35" s="431"/>
      <c r="BU35" s="332"/>
      <c r="BV35" s="431"/>
      <c r="BW35" s="330">
        <v>103906.98</v>
      </c>
      <c r="BX35" s="429">
        <v>103906.98</v>
      </c>
      <c r="BY35" s="430">
        <v>1</v>
      </c>
      <c r="BZ35" s="430" t="s">
        <v>555</v>
      </c>
      <c r="CA35" s="430">
        <v>25976.75</v>
      </c>
      <c r="CB35" s="20">
        <v>0</v>
      </c>
      <c r="CC35" s="329"/>
    </row>
    <row r="36" spans="1:81" x14ac:dyDescent="0.25">
      <c r="A36" s="329" t="s">
        <v>45</v>
      </c>
      <c r="B36" s="329" t="s">
        <v>248</v>
      </c>
      <c r="C36" s="329" t="s">
        <v>173</v>
      </c>
      <c r="D36" s="329" t="s">
        <v>800</v>
      </c>
      <c r="E36" s="329" t="s">
        <v>801</v>
      </c>
      <c r="F36" s="419" t="s">
        <v>289</v>
      </c>
      <c r="G36" s="420"/>
      <c r="H36" s="419"/>
      <c r="I36" s="329"/>
      <c r="J36" s="20">
        <v>0</v>
      </c>
      <c r="K36" s="20">
        <v>0</v>
      </c>
      <c r="L36" s="415"/>
      <c r="M36" s="20">
        <v>0</v>
      </c>
      <c r="N36" s="20">
        <v>0</v>
      </c>
      <c r="O36" s="415"/>
      <c r="P36" s="20">
        <v>10</v>
      </c>
      <c r="Q36" s="20">
        <v>50</v>
      </c>
      <c r="R36" s="415">
        <v>8600</v>
      </c>
      <c r="S36" s="20">
        <v>5</v>
      </c>
      <c r="T36" s="20">
        <v>25</v>
      </c>
      <c r="U36" s="415">
        <v>4300</v>
      </c>
      <c r="V36" s="20"/>
      <c r="W36" s="585"/>
      <c r="X36" s="20"/>
      <c r="Y36" s="585"/>
      <c r="Z36" s="20"/>
      <c r="AA36" s="585"/>
      <c r="AB36" s="20"/>
      <c r="AC36" s="585"/>
      <c r="AD36" s="20"/>
      <c r="AE36" s="585"/>
      <c r="AF36" s="586">
        <v>1</v>
      </c>
      <c r="AG36" s="585">
        <v>8000</v>
      </c>
      <c r="AH36" s="586">
        <v>20</v>
      </c>
      <c r="AI36" s="585">
        <v>8000</v>
      </c>
      <c r="AJ36" s="20"/>
      <c r="AK36" s="20"/>
      <c r="AL36" s="20"/>
      <c r="AM36" s="20"/>
      <c r="AN36" s="20"/>
      <c r="AO36" s="423">
        <v>15</v>
      </c>
      <c r="AP36" s="415">
        <v>6000</v>
      </c>
      <c r="AQ36" s="415">
        <v>26900</v>
      </c>
      <c r="AR36" s="20">
        <v>1</v>
      </c>
      <c r="AS36" s="20">
        <v>0</v>
      </c>
      <c r="AT36" s="415"/>
      <c r="AU36" s="415">
        <v>26900</v>
      </c>
      <c r="AV36" s="20" t="s">
        <v>244</v>
      </c>
      <c r="AW36" s="424">
        <v>0</v>
      </c>
      <c r="AX36" s="424">
        <v>26900</v>
      </c>
      <c r="AY36" s="294">
        <v>21520</v>
      </c>
      <c r="AZ36" s="425" t="s">
        <v>576</v>
      </c>
      <c r="BA36" s="294">
        <v>5380</v>
      </c>
      <c r="BB36" s="426"/>
      <c r="BC36" s="332"/>
      <c r="BD36" s="331"/>
      <c r="BE36" s="332"/>
      <c r="BF36" s="421"/>
      <c r="BG36" s="332"/>
      <c r="BH36" s="428"/>
      <c r="BI36" s="332"/>
      <c r="BJ36" s="431"/>
      <c r="BK36" s="332"/>
      <c r="BL36" s="431"/>
      <c r="BM36" s="332"/>
      <c r="BN36" s="431"/>
      <c r="BO36" s="332"/>
      <c r="BP36" s="431"/>
      <c r="BQ36" s="332"/>
      <c r="BR36" s="431"/>
      <c r="BS36" s="332"/>
      <c r="BT36" s="431"/>
      <c r="BU36" s="332"/>
      <c r="BV36" s="431"/>
      <c r="BW36" s="330">
        <v>21520</v>
      </c>
      <c r="BX36" s="429">
        <v>21520</v>
      </c>
      <c r="BY36" s="430">
        <v>1</v>
      </c>
      <c r="BZ36" s="430" t="s">
        <v>555</v>
      </c>
      <c r="CA36" s="430">
        <v>5380</v>
      </c>
      <c r="CB36" s="20">
        <v>0</v>
      </c>
      <c r="CC36" s="329"/>
    </row>
    <row r="37" spans="1:81" x14ac:dyDescent="0.25">
      <c r="A37" s="329" t="s">
        <v>46</v>
      </c>
      <c r="B37" s="329" t="s">
        <v>126</v>
      </c>
      <c r="C37" s="329" t="s">
        <v>174</v>
      </c>
      <c r="D37" s="329" t="s">
        <v>802</v>
      </c>
      <c r="E37" s="329" t="s">
        <v>803</v>
      </c>
      <c r="F37" s="419" t="s">
        <v>290</v>
      </c>
      <c r="G37" s="420"/>
      <c r="H37" s="419"/>
      <c r="I37" s="329"/>
      <c r="J37" s="20">
        <v>24</v>
      </c>
      <c r="K37" s="20">
        <v>3263</v>
      </c>
      <c r="L37" s="415">
        <v>49995</v>
      </c>
      <c r="M37" s="20">
        <v>4</v>
      </c>
      <c r="N37" s="20">
        <v>484</v>
      </c>
      <c r="O37" s="415">
        <v>9597.7199999999993</v>
      </c>
      <c r="P37" s="20">
        <v>25</v>
      </c>
      <c r="Q37" s="20">
        <v>125</v>
      </c>
      <c r="R37" s="415">
        <v>21500</v>
      </c>
      <c r="S37" s="20">
        <v>17</v>
      </c>
      <c r="T37" s="20">
        <v>85</v>
      </c>
      <c r="U37" s="415">
        <v>14620</v>
      </c>
      <c r="V37" s="20">
        <v>1</v>
      </c>
      <c r="W37" s="585">
        <v>6000</v>
      </c>
      <c r="X37" s="20"/>
      <c r="Y37" s="585"/>
      <c r="Z37" s="20"/>
      <c r="AA37" s="585"/>
      <c r="AB37" s="20"/>
      <c r="AC37" s="585"/>
      <c r="AD37" s="20"/>
      <c r="AE37" s="585"/>
      <c r="AF37" s="586"/>
      <c r="AG37" s="585"/>
      <c r="AH37" s="586">
        <v>15</v>
      </c>
      <c r="AI37" s="585">
        <v>6000</v>
      </c>
      <c r="AJ37" s="20"/>
      <c r="AK37" s="20"/>
      <c r="AL37" s="20"/>
      <c r="AM37" s="20"/>
      <c r="AN37" s="20"/>
      <c r="AO37" s="423">
        <v>70</v>
      </c>
      <c r="AP37" s="415">
        <v>28000</v>
      </c>
      <c r="AQ37" s="415">
        <v>129712.72</v>
      </c>
      <c r="AR37" s="20">
        <v>1</v>
      </c>
      <c r="AS37" s="20">
        <v>0</v>
      </c>
      <c r="AT37" s="415"/>
      <c r="AU37" s="415">
        <v>129712.72</v>
      </c>
      <c r="AV37" s="20" t="s">
        <v>244</v>
      </c>
      <c r="AW37" s="424">
        <v>0</v>
      </c>
      <c r="AX37" s="424">
        <v>129712.72</v>
      </c>
      <c r="AY37" s="294">
        <v>103770.18</v>
      </c>
      <c r="AZ37" s="425" t="s">
        <v>576</v>
      </c>
      <c r="BA37" s="294">
        <v>25942.540000000008</v>
      </c>
      <c r="BB37" s="426"/>
      <c r="BC37" s="427"/>
      <c r="BD37" s="331"/>
      <c r="BE37" s="332"/>
      <c r="BF37" s="421"/>
      <c r="BG37" s="332"/>
      <c r="BH37" s="428"/>
      <c r="BI37" s="332"/>
      <c r="BJ37" s="431"/>
      <c r="BK37" s="332"/>
      <c r="BL37" s="431"/>
      <c r="BM37" s="332"/>
      <c r="BN37" s="431"/>
      <c r="BO37" s="332"/>
      <c r="BP37" s="431"/>
      <c r="BQ37" s="332"/>
      <c r="BR37" s="431"/>
      <c r="BS37" s="332"/>
      <c r="BT37" s="431"/>
      <c r="BU37" s="332"/>
      <c r="BV37" s="431"/>
      <c r="BW37" s="330">
        <v>103770.18</v>
      </c>
      <c r="BX37" s="429">
        <v>103770.18</v>
      </c>
      <c r="BY37" s="430">
        <v>1</v>
      </c>
      <c r="BZ37" s="430" t="s">
        <v>555</v>
      </c>
      <c r="CA37" s="430">
        <v>25942.540000000008</v>
      </c>
      <c r="CB37" s="20">
        <v>0</v>
      </c>
      <c r="CC37" s="329"/>
    </row>
    <row r="38" spans="1:81" x14ac:dyDescent="0.25">
      <c r="A38" s="329" t="s">
        <v>47</v>
      </c>
      <c r="B38" s="329" t="s">
        <v>217</v>
      </c>
      <c r="C38" s="329" t="s">
        <v>175</v>
      </c>
      <c r="D38" s="329" t="s">
        <v>804</v>
      </c>
      <c r="E38" s="329" t="s">
        <v>805</v>
      </c>
      <c r="F38" s="419" t="s">
        <v>291</v>
      </c>
      <c r="G38" s="420"/>
      <c r="H38" s="419"/>
      <c r="I38" s="329"/>
      <c r="J38" s="20">
        <v>8</v>
      </c>
      <c r="K38" s="20">
        <v>1128</v>
      </c>
      <c r="L38" s="415">
        <v>16920</v>
      </c>
      <c r="M38" s="20">
        <v>1</v>
      </c>
      <c r="N38" s="20">
        <v>121</v>
      </c>
      <c r="O38" s="415">
        <v>2399.4299999999998</v>
      </c>
      <c r="P38" s="20">
        <v>4</v>
      </c>
      <c r="Q38" s="20">
        <v>20</v>
      </c>
      <c r="R38" s="415">
        <v>3440</v>
      </c>
      <c r="S38" s="20">
        <v>15</v>
      </c>
      <c r="T38" s="20">
        <v>75</v>
      </c>
      <c r="U38" s="415">
        <v>12900</v>
      </c>
      <c r="V38" s="20"/>
      <c r="W38" s="585"/>
      <c r="X38" s="20"/>
      <c r="Y38" s="585"/>
      <c r="Z38" s="20"/>
      <c r="AA38" s="585"/>
      <c r="AB38" s="20"/>
      <c r="AC38" s="585"/>
      <c r="AD38" s="20"/>
      <c r="AE38" s="585"/>
      <c r="AF38" s="586"/>
      <c r="AG38" s="585"/>
      <c r="AH38" s="586"/>
      <c r="AI38" s="585"/>
      <c r="AJ38" s="20"/>
      <c r="AK38" s="20"/>
      <c r="AL38" s="20"/>
      <c r="AM38" s="20"/>
      <c r="AN38" s="20"/>
      <c r="AO38" s="423">
        <v>28</v>
      </c>
      <c r="AP38" s="415">
        <v>11200</v>
      </c>
      <c r="AQ38" s="415">
        <v>46859.43</v>
      </c>
      <c r="AR38" s="20">
        <v>1</v>
      </c>
      <c r="AS38" s="20">
        <v>0</v>
      </c>
      <c r="AT38" s="415"/>
      <c r="AU38" s="415">
        <v>46859.43</v>
      </c>
      <c r="AV38" s="20" t="s">
        <v>244</v>
      </c>
      <c r="AW38" s="424">
        <v>0</v>
      </c>
      <c r="AX38" s="424">
        <v>46859.43</v>
      </c>
      <c r="AY38" s="294">
        <v>37487.54</v>
      </c>
      <c r="AZ38" s="425" t="s">
        <v>576</v>
      </c>
      <c r="BA38" s="294">
        <v>9371.89</v>
      </c>
      <c r="BB38" s="426"/>
      <c r="BC38" s="427"/>
      <c r="BD38" s="331"/>
      <c r="BE38" s="332"/>
      <c r="BF38" s="421"/>
      <c r="BG38" s="332"/>
      <c r="BH38" s="428"/>
      <c r="BI38" s="332"/>
      <c r="BJ38" s="431"/>
      <c r="BK38" s="332"/>
      <c r="BL38" s="431"/>
      <c r="BM38" s="332"/>
      <c r="BN38" s="431"/>
      <c r="BO38" s="332"/>
      <c r="BP38" s="431"/>
      <c r="BQ38" s="332"/>
      <c r="BR38" s="431"/>
      <c r="BS38" s="332"/>
      <c r="BT38" s="431"/>
      <c r="BU38" s="332"/>
      <c r="BV38" s="431"/>
      <c r="BW38" s="330">
        <v>37487.54</v>
      </c>
      <c r="BX38" s="429">
        <v>37487.54</v>
      </c>
      <c r="BY38" s="430">
        <v>1</v>
      </c>
      <c r="BZ38" s="430" t="s">
        <v>555</v>
      </c>
      <c r="CA38" s="430">
        <v>9371.89</v>
      </c>
      <c r="CB38" s="20">
        <v>0</v>
      </c>
      <c r="CC38" s="329"/>
    </row>
    <row r="39" spans="1:81" x14ac:dyDescent="0.25">
      <c r="A39" s="329" t="s">
        <v>48</v>
      </c>
      <c r="B39" s="329" t="s">
        <v>127</v>
      </c>
      <c r="C39" s="329" t="s">
        <v>176</v>
      </c>
      <c r="D39" s="329" t="s">
        <v>806</v>
      </c>
      <c r="E39" s="329" t="s">
        <v>807</v>
      </c>
      <c r="F39" s="419" t="s">
        <v>292</v>
      </c>
      <c r="G39" s="420"/>
      <c r="H39" s="419"/>
      <c r="I39" s="329"/>
      <c r="J39" s="20">
        <v>20</v>
      </c>
      <c r="K39" s="20">
        <v>2699</v>
      </c>
      <c r="L39" s="415">
        <v>41535</v>
      </c>
      <c r="M39" s="20">
        <v>12</v>
      </c>
      <c r="N39" s="20">
        <v>1452</v>
      </c>
      <c r="O39" s="415">
        <v>28793.159999999996</v>
      </c>
      <c r="P39" s="20">
        <v>16</v>
      </c>
      <c r="Q39" s="20">
        <v>80</v>
      </c>
      <c r="R39" s="415">
        <v>13760</v>
      </c>
      <c r="S39" s="20">
        <v>7</v>
      </c>
      <c r="T39" s="20">
        <v>35</v>
      </c>
      <c r="U39" s="415">
        <v>6020</v>
      </c>
      <c r="V39" s="20"/>
      <c r="W39" s="585"/>
      <c r="X39" s="20"/>
      <c r="Y39" s="585"/>
      <c r="Z39" s="20"/>
      <c r="AA39" s="585"/>
      <c r="AB39" s="20"/>
      <c r="AC39" s="585"/>
      <c r="AD39" s="20"/>
      <c r="AE39" s="585"/>
      <c r="AF39" s="586"/>
      <c r="AG39" s="585"/>
      <c r="AH39" s="586"/>
      <c r="AI39" s="585"/>
      <c r="AJ39" s="20"/>
      <c r="AK39" s="20"/>
      <c r="AL39" s="20"/>
      <c r="AM39" s="20"/>
      <c r="AN39" s="20"/>
      <c r="AO39" s="423">
        <v>55</v>
      </c>
      <c r="AP39" s="415">
        <v>22000</v>
      </c>
      <c r="AQ39" s="415">
        <v>112108.16</v>
      </c>
      <c r="AR39" s="20">
        <v>1</v>
      </c>
      <c r="AS39" s="20">
        <v>0</v>
      </c>
      <c r="AT39" s="415"/>
      <c r="AU39" s="415">
        <v>112108.16</v>
      </c>
      <c r="AV39" s="20" t="s">
        <v>244</v>
      </c>
      <c r="AW39" s="424">
        <v>0</v>
      </c>
      <c r="AX39" s="424">
        <v>112108.16</v>
      </c>
      <c r="AY39" s="294">
        <v>89686.53</v>
      </c>
      <c r="AZ39" s="425" t="s">
        <v>576</v>
      </c>
      <c r="BA39" s="294">
        <v>22421.630000000005</v>
      </c>
      <c r="BB39" s="426"/>
      <c r="BC39" s="332"/>
      <c r="BD39" s="331"/>
      <c r="BE39" s="332"/>
      <c r="BF39" s="421"/>
      <c r="BG39" s="332"/>
      <c r="BH39" s="428"/>
      <c r="BI39" s="332"/>
      <c r="BJ39" s="431"/>
      <c r="BK39" s="332"/>
      <c r="BL39" s="431"/>
      <c r="BM39" s="332"/>
      <c r="BN39" s="431"/>
      <c r="BO39" s="332"/>
      <c r="BP39" s="431"/>
      <c r="BQ39" s="332"/>
      <c r="BR39" s="431"/>
      <c r="BS39" s="332"/>
      <c r="BT39" s="431"/>
      <c r="BU39" s="332"/>
      <c r="BV39" s="431"/>
      <c r="BW39" s="330">
        <v>89686.53</v>
      </c>
      <c r="BX39" s="429">
        <v>89686.53</v>
      </c>
      <c r="BY39" s="430">
        <v>1</v>
      </c>
      <c r="BZ39" s="430" t="s">
        <v>555</v>
      </c>
      <c r="CA39" s="430">
        <v>22421.630000000005</v>
      </c>
      <c r="CB39" s="20">
        <v>0</v>
      </c>
      <c r="CC39" s="329"/>
    </row>
    <row r="40" spans="1:81" x14ac:dyDescent="0.25">
      <c r="A40" s="329" t="s">
        <v>49</v>
      </c>
      <c r="B40" s="329" t="s">
        <v>10</v>
      </c>
      <c r="C40" s="329" t="s">
        <v>177</v>
      </c>
      <c r="D40" s="329" t="s">
        <v>808</v>
      </c>
      <c r="E40" s="329" t="s">
        <v>809</v>
      </c>
      <c r="F40" s="419" t="s">
        <v>293</v>
      </c>
      <c r="G40" s="420"/>
      <c r="H40" s="419"/>
      <c r="I40" s="329"/>
      <c r="J40" s="20">
        <v>1</v>
      </c>
      <c r="K40" s="20">
        <v>141</v>
      </c>
      <c r="L40" s="415">
        <v>2115</v>
      </c>
      <c r="M40" s="20">
        <v>37</v>
      </c>
      <c r="N40" s="20">
        <v>4275</v>
      </c>
      <c r="O40" s="415">
        <v>86680.049999999988</v>
      </c>
      <c r="P40" s="20">
        <v>3</v>
      </c>
      <c r="Q40" s="20">
        <v>15</v>
      </c>
      <c r="R40" s="415">
        <v>2580</v>
      </c>
      <c r="S40" s="20">
        <v>11</v>
      </c>
      <c r="T40" s="20">
        <v>55</v>
      </c>
      <c r="U40" s="415">
        <v>9460</v>
      </c>
      <c r="V40" s="20"/>
      <c r="W40" s="585"/>
      <c r="X40" s="20"/>
      <c r="Y40" s="585"/>
      <c r="Z40" s="20"/>
      <c r="AA40" s="585"/>
      <c r="AB40" s="20"/>
      <c r="AC40" s="585"/>
      <c r="AD40" s="20"/>
      <c r="AE40" s="585"/>
      <c r="AF40" s="586"/>
      <c r="AG40" s="585"/>
      <c r="AH40" s="586"/>
      <c r="AI40" s="585"/>
      <c r="AJ40" s="20"/>
      <c r="AK40" s="20"/>
      <c r="AL40" s="20"/>
      <c r="AM40" s="20"/>
      <c r="AN40" s="20"/>
      <c r="AO40" s="423">
        <v>52</v>
      </c>
      <c r="AP40" s="415">
        <v>20800</v>
      </c>
      <c r="AQ40" s="415">
        <v>121635.04999999999</v>
      </c>
      <c r="AR40" s="20">
        <v>1</v>
      </c>
      <c r="AS40" s="20">
        <v>0</v>
      </c>
      <c r="AT40" s="415"/>
      <c r="AU40" s="415">
        <v>121635.04999999999</v>
      </c>
      <c r="AV40" s="20" t="s">
        <v>244</v>
      </c>
      <c r="AW40" s="424">
        <v>0</v>
      </c>
      <c r="AX40" s="424">
        <v>121635.04999999999</v>
      </c>
      <c r="AY40" s="294">
        <v>97308.04</v>
      </c>
      <c r="AZ40" s="425" t="s">
        <v>576</v>
      </c>
      <c r="BA40" s="294">
        <v>24327.009999999995</v>
      </c>
      <c r="BB40" s="426"/>
      <c r="BC40" s="332"/>
      <c r="BD40" s="331"/>
      <c r="BE40" s="332"/>
      <c r="BF40" s="421"/>
      <c r="BG40" s="332"/>
      <c r="BH40" s="428"/>
      <c r="BI40" s="332"/>
      <c r="BJ40" s="431"/>
      <c r="BK40" s="332"/>
      <c r="BL40" s="431"/>
      <c r="BM40" s="332"/>
      <c r="BN40" s="431"/>
      <c r="BO40" s="332"/>
      <c r="BP40" s="431"/>
      <c r="BQ40" s="332"/>
      <c r="BR40" s="431"/>
      <c r="BS40" s="332"/>
      <c r="BT40" s="431"/>
      <c r="BU40" s="332"/>
      <c r="BV40" s="431"/>
      <c r="BW40" s="330">
        <v>97308.04</v>
      </c>
      <c r="BX40" s="429">
        <v>97308.04</v>
      </c>
      <c r="BY40" s="430">
        <v>1</v>
      </c>
      <c r="BZ40" s="430" t="s">
        <v>555</v>
      </c>
      <c r="CA40" s="430">
        <v>24327.009999999995</v>
      </c>
      <c r="CB40" s="20">
        <v>0</v>
      </c>
      <c r="CC40" s="329"/>
    </row>
    <row r="41" spans="1:81" x14ac:dyDescent="0.25">
      <c r="A41" s="329" t="s">
        <v>50</v>
      </c>
      <c r="B41" s="329" t="s">
        <v>101</v>
      </c>
      <c r="C41" s="329" t="s">
        <v>178</v>
      </c>
      <c r="D41" s="329" t="s">
        <v>810</v>
      </c>
      <c r="E41" s="329" t="s">
        <v>811</v>
      </c>
      <c r="F41" s="419" t="s">
        <v>294</v>
      </c>
      <c r="G41" s="420"/>
      <c r="H41" s="419"/>
      <c r="I41" s="329"/>
      <c r="J41" s="20">
        <v>216</v>
      </c>
      <c r="K41" s="20">
        <v>28641</v>
      </c>
      <c r="L41" s="415">
        <v>445365</v>
      </c>
      <c r="M41" s="20">
        <v>44</v>
      </c>
      <c r="N41" s="20">
        <v>5021</v>
      </c>
      <c r="O41" s="415">
        <v>102426.62999999999</v>
      </c>
      <c r="P41" s="20">
        <v>19</v>
      </c>
      <c r="Q41" s="20">
        <v>95</v>
      </c>
      <c r="R41" s="415">
        <v>16340</v>
      </c>
      <c r="S41" s="20">
        <v>13</v>
      </c>
      <c r="T41" s="20">
        <v>65</v>
      </c>
      <c r="U41" s="415">
        <v>11180</v>
      </c>
      <c r="V41" s="20"/>
      <c r="W41" s="585"/>
      <c r="X41" s="20"/>
      <c r="Y41" s="585"/>
      <c r="Z41" s="20"/>
      <c r="AA41" s="585"/>
      <c r="AB41" s="20"/>
      <c r="AC41" s="585"/>
      <c r="AD41" s="20"/>
      <c r="AE41" s="585"/>
      <c r="AF41" s="586">
        <v>4</v>
      </c>
      <c r="AG41" s="585">
        <v>32000</v>
      </c>
      <c r="AH41" s="586">
        <v>80</v>
      </c>
      <c r="AI41" s="585">
        <v>32000</v>
      </c>
      <c r="AJ41" s="20"/>
      <c r="AK41" s="20"/>
      <c r="AL41" s="20"/>
      <c r="AM41" s="20"/>
      <c r="AN41" s="20"/>
      <c r="AO41" s="423">
        <v>292</v>
      </c>
      <c r="AP41" s="415">
        <v>84160</v>
      </c>
      <c r="AQ41" s="415">
        <v>691471.63</v>
      </c>
      <c r="AR41" s="20">
        <v>1</v>
      </c>
      <c r="AS41" s="20">
        <v>0</v>
      </c>
      <c r="AT41" s="415"/>
      <c r="AU41" s="415">
        <v>691471.63</v>
      </c>
      <c r="AV41" s="20" t="s">
        <v>247</v>
      </c>
      <c r="AW41" s="424">
        <v>0</v>
      </c>
      <c r="AX41" s="424">
        <v>691471.63</v>
      </c>
      <c r="AY41" s="294">
        <v>276588.65000000002</v>
      </c>
      <c r="AZ41" s="425" t="s">
        <v>576</v>
      </c>
      <c r="BA41" s="294">
        <v>276588.65000000002</v>
      </c>
      <c r="BB41" s="426"/>
      <c r="BC41" s="294">
        <v>138294.32999999996</v>
      </c>
      <c r="BD41" s="426"/>
      <c r="BE41" s="427"/>
      <c r="BF41" s="331"/>
      <c r="BG41" s="332"/>
      <c r="BH41" s="431"/>
      <c r="BI41" s="332"/>
      <c r="BJ41" s="431"/>
      <c r="BK41" s="332"/>
      <c r="BL41" s="431"/>
      <c r="BM41" s="332"/>
      <c r="BN41" s="431"/>
      <c r="BO41" s="332"/>
      <c r="BP41" s="431"/>
      <c r="BQ41" s="332"/>
      <c r="BR41" s="431"/>
      <c r="BS41" s="332"/>
      <c r="BT41" s="431"/>
      <c r="BU41" s="332"/>
      <c r="BV41" s="431"/>
      <c r="BW41" s="330">
        <v>276588.65000000002</v>
      </c>
      <c r="BX41" s="429">
        <v>276588.65000000002</v>
      </c>
      <c r="BY41" s="430">
        <v>1</v>
      </c>
      <c r="BZ41" s="430" t="s">
        <v>555</v>
      </c>
      <c r="CA41" s="430">
        <v>276588.65000000002</v>
      </c>
      <c r="CB41" s="20">
        <v>0</v>
      </c>
      <c r="CC41" s="329"/>
    </row>
    <row r="42" spans="1:81" x14ac:dyDescent="0.25">
      <c r="A42" s="329" t="s">
        <v>51</v>
      </c>
      <c r="B42" s="329" t="s">
        <v>118</v>
      </c>
      <c r="C42" s="329" t="s">
        <v>179</v>
      </c>
      <c r="D42" s="329" t="s">
        <v>812</v>
      </c>
      <c r="E42" s="329" t="s">
        <v>813</v>
      </c>
      <c r="F42" s="419" t="s">
        <v>295</v>
      </c>
      <c r="G42" s="420"/>
      <c r="H42" s="419"/>
      <c r="I42" s="329"/>
      <c r="J42" s="20">
        <v>20</v>
      </c>
      <c r="K42" s="20">
        <v>2699</v>
      </c>
      <c r="L42" s="415">
        <v>41535</v>
      </c>
      <c r="M42" s="20">
        <v>3</v>
      </c>
      <c r="N42" s="20">
        <v>363</v>
      </c>
      <c r="O42" s="415">
        <v>7198.2899999999991</v>
      </c>
      <c r="P42" s="20">
        <v>15</v>
      </c>
      <c r="Q42" s="20">
        <v>75</v>
      </c>
      <c r="R42" s="415">
        <v>12900</v>
      </c>
      <c r="S42" s="20">
        <v>4</v>
      </c>
      <c r="T42" s="20">
        <v>20</v>
      </c>
      <c r="U42" s="415">
        <v>3440</v>
      </c>
      <c r="V42" s="20"/>
      <c r="W42" s="585"/>
      <c r="X42" s="20"/>
      <c r="Y42" s="585"/>
      <c r="Z42" s="20"/>
      <c r="AA42" s="585"/>
      <c r="AB42" s="20"/>
      <c r="AC42" s="585"/>
      <c r="AD42" s="20"/>
      <c r="AE42" s="585"/>
      <c r="AF42" s="586"/>
      <c r="AG42" s="585"/>
      <c r="AH42" s="586"/>
      <c r="AI42" s="585"/>
      <c r="AJ42" s="20"/>
      <c r="AK42" s="20"/>
      <c r="AL42" s="20"/>
      <c r="AM42" s="20"/>
      <c r="AN42" s="20"/>
      <c r="AO42" s="423">
        <v>42</v>
      </c>
      <c r="AP42" s="415">
        <v>16800</v>
      </c>
      <c r="AQ42" s="415">
        <v>81873.290000000008</v>
      </c>
      <c r="AR42" s="20">
        <v>1</v>
      </c>
      <c r="AS42" s="20">
        <v>0</v>
      </c>
      <c r="AT42" s="415"/>
      <c r="AU42" s="415">
        <v>81873.290000000008</v>
      </c>
      <c r="AV42" s="20" t="s">
        <v>244</v>
      </c>
      <c r="AW42" s="424">
        <v>0</v>
      </c>
      <c r="AX42" s="424">
        <v>81873.290000000008</v>
      </c>
      <c r="AY42" s="294">
        <v>65498.63</v>
      </c>
      <c r="AZ42" s="425" t="s">
        <v>576</v>
      </c>
      <c r="BA42" s="294">
        <v>16374.660000000011</v>
      </c>
      <c r="BB42" s="426"/>
      <c r="BC42" s="435"/>
      <c r="BD42" s="331"/>
      <c r="BE42" s="332"/>
      <c r="BF42" s="421"/>
      <c r="BG42" s="332"/>
      <c r="BH42" s="428"/>
      <c r="BI42" s="332"/>
      <c r="BJ42" s="431"/>
      <c r="BK42" s="332"/>
      <c r="BL42" s="431"/>
      <c r="BM42" s="332"/>
      <c r="BN42" s="431"/>
      <c r="BO42" s="332"/>
      <c r="BP42" s="431"/>
      <c r="BQ42" s="332"/>
      <c r="BR42" s="431"/>
      <c r="BS42" s="332"/>
      <c r="BT42" s="431"/>
      <c r="BU42" s="332"/>
      <c r="BV42" s="431"/>
      <c r="BW42" s="330">
        <v>65498.63</v>
      </c>
      <c r="BX42" s="429">
        <v>65498.63</v>
      </c>
      <c r="BY42" s="430">
        <v>1</v>
      </c>
      <c r="BZ42" s="430" t="s">
        <v>555</v>
      </c>
      <c r="CA42" s="430">
        <v>16374.660000000011</v>
      </c>
      <c r="CB42" s="20">
        <v>0</v>
      </c>
      <c r="CC42" s="329"/>
    </row>
    <row r="43" spans="1:81" x14ac:dyDescent="0.25">
      <c r="A43" s="329" t="s">
        <v>523</v>
      </c>
      <c r="B43" s="329" t="s">
        <v>249</v>
      </c>
      <c r="C43" s="329" t="s">
        <v>180</v>
      </c>
      <c r="D43" s="329" t="s">
        <v>814</v>
      </c>
      <c r="E43" s="329" t="s">
        <v>815</v>
      </c>
      <c r="F43" s="419" t="s">
        <v>894</v>
      </c>
      <c r="G43" s="420"/>
      <c r="H43" s="419"/>
      <c r="I43" s="329"/>
      <c r="J43" s="20">
        <v>0</v>
      </c>
      <c r="K43" s="20">
        <v>0</v>
      </c>
      <c r="L43" s="415"/>
      <c r="M43" s="20">
        <v>0</v>
      </c>
      <c r="N43" s="20">
        <v>0</v>
      </c>
      <c r="O43" s="415"/>
      <c r="P43" s="20">
        <v>4</v>
      </c>
      <c r="Q43" s="20">
        <v>20</v>
      </c>
      <c r="R43" s="415">
        <v>3440</v>
      </c>
      <c r="S43" s="20">
        <v>25</v>
      </c>
      <c r="T43" s="20">
        <v>125</v>
      </c>
      <c r="U43" s="415">
        <v>21500</v>
      </c>
      <c r="V43" s="20"/>
      <c r="W43" s="585"/>
      <c r="X43" s="20"/>
      <c r="Y43" s="585"/>
      <c r="Z43" s="20"/>
      <c r="AA43" s="585"/>
      <c r="AB43" s="20"/>
      <c r="AC43" s="585"/>
      <c r="AD43" s="20"/>
      <c r="AE43" s="585"/>
      <c r="AF43" s="586">
        <v>1</v>
      </c>
      <c r="AG43" s="585">
        <v>8000</v>
      </c>
      <c r="AH43" s="586">
        <v>40</v>
      </c>
      <c r="AI43" s="585">
        <v>8000</v>
      </c>
      <c r="AJ43" s="20"/>
      <c r="AK43" s="20"/>
      <c r="AL43" s="20"/>
      <c r="AM43" s="20"/>
      <c r="AN43" s="20"/>
      <c r="AO43" s="423">
        <v>29</v>
      </c>
      <c r="AP43" s="415">
        <v>11600</v>
      </c>
      <c r="AQ43" s="415">
        <v>44540</v>
      </c>
      <c r="AR43" s="20">
        <v>1</v>
      </c>
      <c r="AS43" s="20">
        <v>0</v>
      </c>
      <c r="AT43" s="415"/>
      <c r="AU43" s="415">
        <v>44540</v>
      </c>
      <c r="AV43" s="20" t="s">
        <v>244</v>
      </c>
      <c r="AW43" s="424">
        <v>0</v>
      </c>
      <c r="AX43" s="424">
        <v>44540</v>
      </c>
      <c r="AY43" s="294">
        <v>35632</v>
      </c>
      <c r="AZ43" s="425" t="s">
        <v>576</v>
      </c>
      <c r="BA43" s="294">
        <v>8908</v>
      </c>
      <c r="BB43" s="426"/>
      <c r="BC43" s="427"/>
      <c r="BD43" s="331"/>
      <c r="BE43" s="332"/>
      <c r="BF43" s="421"/>
      <c r="BG43" s="332"/>
      <c r="BH43" s="428"/>
      <c r="BI43" s="332"/>
      <c r="BJ43" s="431"/>
      <c r="BK43" s="332"/>
      <c r="BL43" s="431"/>
      <c r="BM43" s="332"/>
      <c r="BN43" s="431"/>
      <c r="BO43" s="332"/>
      <c r="BP43" s="431"/>
      <c r="BQ43" s="332"/>
      <c r="BR43" s="431"/>
      <c r="BS43" s="332"/>
      <c r="BT43" s="431"/>
      <c r="BU43" s="332"/>
      <c r="BV43" s="431"/>
      <c r="BW43" s="330">
        <v>35632</v>
      </c>
      <c r="BX43" s="429">
        <v>35632</v>
      </c>
      <c r="BY43" s="430">
        <v>1</v>
      </c>
      <c r="BZ43" s="430" t="s">
        <v>555</v>
      </c>
      <c r="CA43" s="430">
        <v>8908</v>
      </c>
      <c r="CB43" s="20">
        <v>0</v>
      </c>
      <c r="CC43" s="329"/>
    </row>
    <row r="44" spans="1:81" x14ac:dyDescent="0.25">
      <c r="A44" s="329" t="s">
        <v>52</v>
      </c>
      <c r="B44" s="329" t="s">
        <v>5</v>
      </c>
      <c r="C44" s="329" t="s">
        <v>181</v>
      </c>
      <c r="D44" s="329" t="s">
        <v>816</v>
      </c>
      <c r="E44" s="329" t="s">
        <v>817</v>
      </c>
      <c r="F44" s="419" t="s">
        <v>296</v>
      </c>
      <c r="G44" s="420"/>
      <c r="H44" s="419" t="s">
        <v>942</v>
      </c>
      <c r="I44" s="329"/>
      <c r="J44" s="20">
        <v>72</v>
      </c>
      <c r="K44" s="20">
        <v>9547</v>
      </c>
      <c r="L44" s="415">
        <v>148455</v>
      </c>
      <c r="M44" s="20">
        <v>55</v>
      </c>
      <c r="N44" s="20">
        <v>6352</v>
      </c>
      <c r="O44" s="415">
        <v>128820.35999999999</v>
      </c>
      <c r="P44" s="20">
        <v>8</v>
      </c>
      <c r="Q44" s="20">
        <v>40</v>
      </c>
      <c r="R44" s="415">
        <v>6880</v>
      </c>
      <c r="S44" s="20">
        <v>14</v>
      </c>
      <c r="T44" s="20">
        <v>70</v>
      </c>
      <c r="U44" s="415">
        <v>12040</v>
      </c>
      <c r="V44" s="20"/>
      <c r="W44" s="585"/>
      <c r="X44" s="20"/>
      <c r="Y44" s="585"/>
      <c r="Z44" s="20"/>
      <c r="AA44" s="585"/>
      <c r="AB44" s="20"/>
      <c r="AC44" s="585"/>
      <c r="AD44" s="20"/>
      <c r="AE44" s="585"/>
      <c r="AF44" s="586">
        <v>4</v>
      </c>
      <c r="AG44" s="585">
        <v>32000</v>
      </c>
      <c r="AH44" s="586">
        <v>80</v>
      </c>
      <c r="AI44" s="585">
        <v>32000</v>
      </c>
      <c r="AJ44" s="20"/>
      <c r="AK44" s="20"/>
      <c r="AL44" s="20"/>
      <c r="AM44" s="20"/>
      <c r="AN44" s="20"/>
      <c r="AO44" s="423">
        <v>149</v>
      </c>
      <c r="AP44" s="415">
        <v>51270</v>
      </c>
      <c r="AQ44" s="415">
        <v>379465.36</v>
      </c>
      <c r="AR44" s="20">
        <v>1</v>
      </c>
      <c r="AS44" s="20">
        <v>0</v>
      </c>
      <c r="AT44" s="415"/>
      <c r="AU44" s="415">
        <v>379465.36</v>
      </c>
      <c r="AV44" s="20" t="s">
        <v>244</v>
      </c>
      <c r="AW44" s="424">
        <v>0</v>
      </c>
      <c r="AX44" s="424">
        <v>379465.36</v>
      </c>
      <c r="AY44" s="294">
        <v>303572.28999999998</v>
      </c>
      <c r="AZ44" s="425" t="s">
        <v>576</v>
      </c>
      <c r="BA44" s="294">
        <v>75893.070000000007</v>
      </c>
      <c r="BB44" s="426"/>
      <c r="BC44" s="332"/>
      <c r="BD44" s="331"/>
      <c r="BE44" s="332"/>
      <c r="BF44" s="421"/>
      <c r="BG44" s="332"/>
      <c r="BH44" s="428"/>
      <c r="BI44" s="332"/>
      <c r="BJ44" s="431"/>
      <c r="BK44" s="332"/>
      <c r="BL44" s="431"/>
      <c r="BM44" s="332"/>
      <c r="BN44" s="431"/>
      <c r="BO44" s="332"/>
      <c r="BP44" s="431"/>
      <c r="BQ44" s="332"/>
      <c r="BR44" s="431"/>
      <c r="BS44" s="332"/>
      <c r="BT44" s="431"/>
      <c r="BU44" s="332"/>
      <c r="BV44" s="431"/>
      <c r="BW44" s="330">
        <v>303572.28999999998</v>
      </c>
      <c r="BX44" s="429">
        <v>303572.28999999998</v>
      </c>
      <c r="BY44" s="430">
        <v>1</v>
      </c>
      <c r="BZ44" s="430" t="s">
        <v>555</v>
      </c>
      <c r="CA44" s="430">
        <v>75893.070000000007</v>
      </c>
      <c r="CB44" s="20">
        <v>0</v>
      </c>
      <c r="CC44" s="329"/>
    </row>
    <row r="45" spans="1:81" x14ac:dyDescent="0.25">
      <c r="A45" s="329" t="s">
        <v>53</v>
      </c>
      <c r="B45" s="329" t="s">
        <v>11</v>
      </c>
      <c r="C45" s="329" t="s">
        <v>182</v>
      </c>
      <c r="D45" s="329" t="s">
        <v>818</v>
      </c>
      <c r="E45" s="329" t="s">
        <v>819</v>
      </c>
      <c r="F45" s="419" t="s">
        <v>297</v>
      </c>
      <c r="G45" s="420"/>
      <c r="H45" s="419"/>
      <c r="I45" s="329"/>
      <c r="J45" s="20">
        <v>7</v>
      </c>
      <c r="K45" s="20">
        <v>987</v>
      </c>
      <c r="L45" s="415">
        <v>14805</v>
      </c>
      <c r="M45" s="20">
        <v>8</v>
      </c>
      <c r="N45" s="20">
        <v>968</v>
      </c>
      <c r="O45" s="415">
        <v>19195.439999999999</v>
      </c>
      <c r="P45" s="20">
        <v>4</v>
      </c>
      <c r="Q45" s="20">
        <v>20</v>
      </c>
      <c r="R45" s="415">
        <v>3440</v>
      </c>
      <c r="S45" s="20">
        <v>4</v>
      </c>
      <c r="T45" s="20">
        <v>20</v>
      </c>
      <c r="U45" s="415">
        <v>3440</v>
      </c>
      <c r="V45" s="20"/>
      <c r="W45" s="585"/>
      <c r="X45" s="20"/>
      <c r="Y45" s="585"/>
      <c r="Z45" s="20"/>
      <c r="AA45" s="585"/>
      <c r="AB45" s="20"/>
      <c r="AC45" s="585"/>
      <c r="AD45" s="20"/>
      <c r="AE45" s="585"/>
      <c r="AF45" s="586">
        <v>1</v>
      </c>
      <c r="AG45" s="585">
        <v>8000</v>
      </c>
      <c r="AH45" s="586">
        <v>50</v>
      </c>
      <c r="AI45" s="585">
        <v>8000</v>
      </c>
      <c r="AJ45" s="20"/>
      <c r="AK45" s="20"/>
      <c r="AL45" s="20"/>
      <c r="AM45" s="20"/>
      <c r="AN45" s="20"/>
      <c r="AO45" s="423">
        <v>23</v>
      </c>
      <c r="AP45" s="415">
        <v>9200</v>
      </c>
      <c r="AQ45" s="415">
        <v>58080.44</v>
      </c>
      <c r="AR45" s="20">
        <v>1</v>
      </c>
      <c r="AS45" s="20">
        <v>0</v>
      </c>
      <c r="AT45" s="415"/>
      <c r="AU45" s="415">
        <v>58080.44</v>
      </c>
      <c r="AV45" s="20" t="s">
        <v>244</v>
      </c>
      <c r="AW45" s="424">
        <v>0</v>
      </c>
      <c r="AX45" s="424">
        <v>58080.44</v>
      </c>
      <c r="AY45" s="294">
        <v>46464.35</v>
      </c>
      <c r="AZ45" s="425" t="s">
        <v>576</v>
      </c>
      <c r="BA45" s="294">
        <v>11616.090000000004</v>
      </c>
      <c r="BB45" s="426"/>
      <c r="BC45" s="332"/>
      <c r="BD45" s="331"/>
      <c r="BE45" s="332"/>
      <c r="BF45" s="421"/>
      <c r="BG45" s="332"/>
      <c r="BH45" s="428"/>
      <c r="BI45" s="332"/>
      <c r="BJ45" s="431"/>
      <c r="BK45" s="332"/>
      <c r="BL45" s="431"/>
      <c r="BM45" s="332"/>
      <c r="BN45" s="431"/>
      <c r="BO45" s="332"/>
      <c r="BP45" s="431"/>
      <c r="BQ45" s="332"/>
      <c r="BR45" s="431"/>
      <c r="BS45" s="332"/>
      <c r="BT45" s="431"/>
      <c r="BU45" s="332"/>
      <c r="BV45" s="431"/>
      <c r="BW45" s="330">
        <v>46464.35</v>
      </c>
      <c r="BX45" s="429">
        <v>46464.35</v>
      </c>
      <c r="BY45" s="430">
        <v>1</v>
      </c>
      <c r="BZ45" s="430" t="s">
        <v>555</v>
      </c>
      <c r="CA45" s="430">
        <v>11616.090000000004</v>
      </c>
      <c r="CB45" s="20">
        <v>0</v>
      </c>
      <c r="CC45" s="329"/>
    </row>
    <row r="46" spans="1:81" x14ac:dyDescent="0.25">
      <c r="A46" s="329" t="s">
        <v>250</v>
      </c>
      <c r="B46" s="329" t="s">
        <v>251</v>
      </c>
      <c r="C46" s="329" t="s">
        <v>261</v>
      </c>
      <c r="D46" s="329" t="s">
        <v>820</v>
      </c>
      <c r="E46" s="329" t="s">
        <v>821</v>
      </c>
      <c r="F46" s="419" t="s">
        <v>298</v>
      </c>
      <c r="G46" s="420"/>
      <c r="H46" s="419" t="s">
        <v>299</v>
      </c>
      <c r="I46" s="329"/>
      <c r="J46" s="20">
        <v>0</v>
      </c>
      <c r="K46" s="20">
        <v>0</v>
      </c>
      <c r="L46" s="415"/>
      <c r="M46" s="20">
        <v>12</v>
      </c>
      <c r="N46" s="20">
        <v>1452</v>
      </c>
      <c r="O46" s="415">
        <v>28793.159999999996</v>
      </c>
      <c r="P46" s="20">
        <v>4</v>
      </c>
      <c r="Q46" s="20">
        <v>20</v>
      </c>
      <c r="R46" s="415">
        <v>3440</v>
      </c>
      <c r="S46" s="20">
        <v>8</v>
      </c>
      <c r="T46" s="20">
        <v>40</v>
      </c>
      <c r="U46" s="415">
        <v>6880</v>
      </c>
      <c r="V46" s="20"/>
      <c r="W46" s="585"/>
      <c r="X46" s="20"/>
      <c r="Y46" s="585"/>
      <c r="Z46" s="20"/>
      <c r="AA46" s="585"/>
      <c r="AB46" s="20"/>
      <c r="AC46" s="585"/>
      <c r="AD46" s="20"/>
      <c r="AE46" s="585"/>
      <c r="AF46" s="586"/>
      <c r="AG46" s="585"/>
      <c r="AH46" s="586"/>
      <c r="AI46" s="585"/>
      <c r="AJ46" s="20"/>
      <c r="AK46" s="20"/>
      <c r="AL46" s="20"/>
      <c r="AM46" s="20"/>
      <c r="AN46" s="20"/>
      <c r="AO46" s="423">
        <v>24</v>
      </c>
      <c r="AP46" s="415">
        <v>9600</v>
      </c>
      <c r="AQ46" s="415">
        <v>48713.159999999996</v>
      </c>
      <c r="AR46" s="20">
        <v>1</v>
      </c>
      <c r="AS46" s="20">
        <v>0</v>
      </c>
      <c r="AT46" s="415"/>
      <c r="AU46" s="415">
        <v>48713.159999999996</v>
      </c>
      <c r="AV46" s="20" t="s">
        <v>244</v>
      </c>
      <c r="AW46" s="424">
        <v>0</v>
      </c>
      <c r="AX46" s="424">
        <v>48713.159999999996</v>
      </c>
      <c r="AY46" s="294">
        <v>38970.53</v>
      </c>
      <c r="AZ46" s="425" t="s">
        <v>576</v>
      </c>
      <c r="BA46" s="294">
        <v>9742.6299999999974</v>
      </c>
      <c r="BB46" s="426"/>
      <c r="BC46" s="332"/>
      <c r="BD46" s="331"/>
      <c r="BE46" s="332"/>
      <c r="BF46" s="421"/>
      <c r="BG46" s="332"/>
      <c r="BH46" s="428"/>
      <c r="BI46" s="332"/>
      <c r="BJ46" s="431"/>
      <c r="BK46" s="332"/>
      <c r="BL46" s="431"/>
      <c r="BM46" s="332"/>
      <c r="BN46" s="431"/>
      <c r="BO46" s="332"/>
      <c r="BP46" s="431"/>
      <c r="BQ46" s="332"/>
      <c r="BR46" s="431"/>
      <c r="BS46" s="332"/>
      <c r="BT46" s="431"/>
      <c r="BU46" s="332"/>
      <c r="BV46" s="431"/>
      <c r="BW46" s="330">
        <v>38970.53</v>
      </c>
      <c r="BX46" s="429">
        <v>38970.53</v>
      </c>
      <c r="BY46" s="430">
        <v>1</v>
      </c>
      <c r="BZ46" s="430" t="s">
        <v>555</v>
      </c>
      <c r="CA46" s="430">
        <v>9742.6299999999974</v>
      </c>
      <c r="CB46" s="20">
        <v>0</v>
      </c>
      <c r="CC46" s="329"/>
    </row>
    <row r="47" spans="1:81" x14ac:dyDescent="0.25">
      <c r="A47" s="329" t="s">
        <v>54</v>
      </c>
      <c r="B47" s="329" t="s">
        <v>578</v>
      </c>
      <c r="C47" s="329" t="s">
        <v>183</v>
      </c>
      <c r="D47" s="329" t="s">
        <v>822</v>
      </c>
      <c r="E47" s="329" t="s">
        <v>823</v>
      </c>
      <c r="F47" s="419" t="s">
        <v>895</v>
      </c>
      <c r="G47" s="420"/>
      <c r="H47" s="419"/>
      <c r="I47" s="329"/>
      <c r="J47" s="20">
        <v>45</v>
      </c>
      <c r="K47" s="20">
        <v>5982</v>
      </c>
      <c r="L47" s="415">
        <v>92880</v>
      </c>
      <c r="M47" s="20">
        <v>36</v>
      </c>
      <c r="N47" s="20">
        <v>4154</v>
      </c>
      <c r="O47" s="415">
        <v>84280.62</v>
      </c>
      <c r="P47" s="20">
        <v>8</v>
      </c>
      <c r="Q47" s="20">
        <v>40</v>
      </c>
      <c r="R47" s="415">
        <v>6880</v>
      </c>
      <c r="S47" s="20">
        <v>15</v>
      </c>
      <c r="T47" s="20">
        <v>75</v>
      </c>
      <c r="U47" s="415">
        <v>12900</v>
      </c>
      <c r="V47" s="20"/>
      <c r="W47" s="585"/>
      <c r="X47" s="20"/>
      <c r="Y47" s="585"/>
      <c r="Z47" s="20"/>
      <c r="AA47" s="585"/>
      <c r="AB47" s="20"/>
      <c r="AC47" s="585"/>
      <c r="AD47" s="20"/>
      <c r="AE47" s="585"/>
      <c r="AF47" s="586">
        <v>3</v>
      </c>
      <c r="AG47" s="585">
        <v>24000</v>
      </c>
      <c r="AH47" s="586">
        <v>60</v>
      </c>
      <c r="AI47" s="585">
        <v>24000</v>
      </c>
      <c r="AJ47" s="20"/>
      <c r="AK47" s="20"/>
      <c r="AL47" s="20"/>
      <c r="AM47" s="20"/>
      <c r="AN47" s="20"/>
      <c r="AO47" s="423">
        <v>104</v>
      </c>
      <c r="AP47" s="415">
        <v>40920</v>
      </c>
      <c r="AQ47" s="415">
        <v>261860.62</v>
      </c>
      <c r="AR47" s="20">
        <v>1</v>
      </c>
      <c r="AS47" s="20">
        <v>0</v>
      </c>
      <c r="AT47" s="415"/>
      <c r="AU47" s="415">
        <v>261860.62</v>
      </c>
      <c r="AV47" s="436" t="s">
        <v>244</v>
      </c>
      <c r="AW47" s="437">
        <v>0</v>
      </c>
      <c r="AX47" s="437">
        <v>261860.62</v>
      </c>
      <c r="AY47" s="294">
        <v>209488.5</v>
      </c>
      <c r="AZ47" s="425" t="s">
        <v>576</v>
      </c>
      <c r="BA47" s="294">
        <v>52372.119999999995</v>
      </c>
      <c r="BB47" s="426"/>
      <c r="BC47" s="332"/>
      <c r="BD47" s="331"/>
      <c r="BE47" s="332"/>
      <c r="BF47" s="421"/>
      <c r="BG47" s="332"/>
      <c r="BH47" s="428"/>
      <c r="BI47" s="332"/>
      <c r="BJ47" s="431"/>
      <c r="BK47" s="332"/>
      <c r="BL47" s="431"/>
      <c r="BM47" s="332"/>
      <c r="BN47" s="431"/>
      <c r="BO47" s="332"/>
      <c r="BP47" s="431"/>
      <c r="BQ47" s="332"/>
      <c r="BR47" s="431"/>
      <c r="BS47" s="332"/>
      <c r="BT47" s="431"/>
      <c r="BU47" s="332"/>
      <c r="BV47" s="431"/>
      <c r="BW47" s="330">
        <v>209488.5</v>
      </c>
      <c r="BX47" s="429">
        <v>209488.5</v>
      </c>
      <c r="BY47" s="430">
        <v>1</v>
      </c>
      <c r="BZ47" s="430" t="s">
        <v>555</v>
      </c>
      <c r="CA47" s="430">
        <v>52372.119999999995</v>
      </c>
      <c r="CB47" s="20">
        <v>0</v>
      </c>
      <c r="CC47" s="329"/>
    </row>
    <row r="48" spans="1:81" x14ac:dyDescent="0.25">
      <c r="A48" s="329" t="s">
        <v>55</v>
      </c>
      <c r="B48" s="329" t="s">
        <v>102</v>
      </c>
      <c r="C48" s="329" t="s">
        <v>184</v>
      </c>
      <c r="D48" s="329" t="s">
        <v>824</v>
      </c>
      <c r="E48" s="329" t="s">
        <v>825</v>
      </c>
      <c r="F48" s="419" t="s">
        <v>300</v>
      </c>
      <c r="G48" s="420"/>
      <c r="H48" s="419"/>
      <c r="I48" s="329"/>
      <c r="J48" s="20">
        <v>120</v>
      </c>
      <c r="K48" s="20">
        <v>15952</v>
      </c>
      <c r="L48" s="415">
        <v>247680</v>
      </c>
      <c r="M48" s="20">
        <v>61</v>
      </c>
      <c r="N48" s="20">
        <v>6977</v>
      </c>
      <c r="O48" s="415">
        <v>142167.50999999998</v>
      </c>
      <c r="P48" s="20">
        <v>32</v>
      </c>
      <c r="Q48" s="20">
        <v>160</v>
      </c>
      <c r="R48" s="415">
        <v>27520</v>
      </c>
      <c r="S48" s="20">
        <v>32</v>
      </c>
      <c r="T48" s="20">
        <v>160</v>
      </c>
      <c r="U48" s="415">
        <v>27520</v>
      </c>
      <c r="V48" s="20"/>
      <c r="W48" s="585"/>
      <c r="X48" s="20"/>
      <c r="Y48" s="585"/>
      <c r="Z48" s="20"/>
      <c r="AA48" s="585"/>
      <c r="AB48" s="20"/>
      <c r="AC48" s="585"/>
      <c r="AD48" s="20"/>
      <c r="AE48" s="585"/>
      <c r="AF48" s="586">
        <v>2</v>
      </c>
      <c r="AG48" s="585">
        <v>16000</v>
      </c>
      <c r="AH48" s="586">
        <v>40</v>
      </c>
      <c r="AI48" s="585">
        <v>16000</v>
      </c>
      <c r="AJ48" s="20"/>
      <c r="AK48" s="20"/>
      <c r="AL48" s="20"/>
      <c r="AM48" s="20"/>
      <c r="AN48" s="20"/>
      <c r="AO48" s="423">
        <v>245</v>
      </c>
      <c r="AP48" s="415">
        <v>73350</v>
      </c>
      <c r="AQ48" s="415">
        <v>534237.51</v>
      </c>
      <c r="AR48" s="20">
        <v>1</v>
      </c>
      <c r="AS48" s="20">
        <v>0</v>
      </c>
      <c r="AT48" s="415"/>
      <c r="AU48" s="415">
        <v>534237.51</v>
      </c>
      <c r="AV48" s="20" t="s">
        <v>247</v>
      </c>
      <c r="AW48" s="424">
        <v>0</v>
      </c>
      <c r="AX48" s="424">
        <v>534237.51</v>
      </c>
      <c r="AY48" s="294">
        <v>213695</v>
      </c>
      <c r="AZ48" s="425" t="s">
        <v>576</v>
      </c>
      <c r="BA48" s="294">
        <v>213695</v>
      </c>
      <c r="BB48" s="426"/>
      <c r="BC48" s="294">
        <v>106847.51000000001</v>
      </c>
      <c r="BD48" s="426"/>
      <c r="BE48" s="332"/>
      <c r="BF48" s="421"/>
      <c r="BG48" s="332"/>
      <c r="BH48" s="428"/>
      <c r="BI48" s="332"/>
      <c r="BJ48" s="431"/>
      <c r="BK48" s="332"/>
      <c r="BL48" s="431"/>
      <c r="BM48" s="332"/>
      <c r="BN48" s="431"/>
      <c r="BO48" s="332"/>
      <c r="BP48" s="431"/>
      <c r="BQ48" s="332"/>
      <c r="BR48" s="431"/>
      <c r="BS48" s="332"/>
      <c r="BT48" s="431"/>
      <c r="BU48" s="332"/>
      <c r="BV48" s="431"/>
      <c r="BW48" s="330">
        <v>213695</v>
      </c>
      <c r="BX48" s="429">
        <v>213695</v>
      </c>
      <c r="BY48" s="430">
        <v>1</v>
      </c>
      <c r="BZ48" s="430" t="s">
        <v>555</v>
      </c>
      <c r="CA48" s="430">
        <v>213695</v>
      </c>
      <c r="CB48" s="20">
        <v>0</v>
      </c>
      <c r="CC48" s="329"/>
    </row>
    <row r="49" spans="1:81" x14ac:dyDescent="0.25">
      <c r="A49" s="329" t="s">
        <v>56</v>
      </c>
      <c r="B49" s="329" t="s">
        <v>128</v>
      </c>
      <c r="C49" s="329" t="s">
        <v>185</v>
      </c>
      <c r="D49" s="329" t="s">
        <v>826</v>
      </c>
      <c r="E49" s="329" t="s">
        <v>827</v>
      </c>
      <c r="F49" s="419" t="s">
        <v>301</v>
      </c>
      <c r="G49" s="420"/>
      <c r="H49" s="419" t="s">
        <v>302</v>
      </c>
      <c r="I49" s="329"/>
      <c r="J49" s="20">
        <v>16</v>
      </c>
      <c r="K49" s="20">
        <v>2135</v>
      </c>
      <c r="L49" s="415">
        <v>33075</v>
      </c>
      <c r="M49" s="20">
        <v>3</v>
      </c>
      <c r="N49" s="20">
        <v>363</v>
      </c>
      <c r="O49" s="415">
        <v>7198.2899999999991</v>
      </c>
      <c r="P49" s="20">
        <v>2</v>
      </c>
      <c r="Q49" s="20">
        <v>10</v>
      </c>
      <c r="R49" s="415">
        <v>1720</v>
      </c>
      <c r="S49" s="20">
        <v>2</v>
      </c>
      <c r="T49" s="20">
        <v>10</v>
      </c>
      <c r="U49" s="415">
        <v>1720</v>
      </c>
      <c r="V49" s="20">
        <v>1</v>
      </c>
      <c r="W49" s="585">
        <v>6000</v>
      </c>
      <c r="X49" s="20"/>
      <c r="Y49" s="585"/>
      <c r="Z49" s="20"/>
      <c r="AA49" s="585"/>
      <c r="AB49" s="20"/>
      <c r="AC49" s="585"/>
      <c r="AD49" s="20"/>
      <c r="AE49" s="585"/>
      <c r="AF49" s="586"/>
      <c r="AG49" s="585"/>
      <c r="AH49" s="586">
        <v>15</v>
      </c>
      <c r="AI49" s="585">
        <v>6000</v>
      </c>
      <c r="AJ49" s="20"/>
      <c r="AK49" s="20"/>
      <c r="AL49" s="20"/>
      <c r="AM49" s="20"/>
      <c r="AN49" s="20"/>
      <c r="AO49" s="423">
        <v>23</v>
      </c>
      <c r="AP49" s="415">
        <v>9200</v>
      </c>
      <c r="AQ49" s="415">
        <v>58913.29</v>
      </c>
      <c r="AR49" s="20">
        <v>1</v>
      </c>
      <c r="AS49" s="20">
        <v>0</v>
      </c>
      <c r="AT49" s="415"/>
      <c r="AU49" s="415">
        <v>58913.29</v>
      </c>
      <c r="AV49" s="20" t="s">
        <v>244</v>
      </c>
      <c r="AW49" s="424">
        <v>0</v>
      </c>
      <c r="AX49" s="424">
        <v>58913.29</v>
      </c>
      <c r="AY49" s="294">
        <v>47130.63</v>
      </c>
      <c r="AZ49" s="425" t="s">
        <v>576</v>
      </c>
      <c r="BA49" s="294">
        <v>11782.660000000003</v>
      </c>
      <c r="BB49" s="426"/>
      <c r="BC49" s="332"/>
      <c r="BD49" s="331"/>
      <c r="BE49" s="332"/>
      <c r="BF49" s="421"/>
      <c r="BG49" s="332"/>
      <c r="BH49" s="428"/>
      <c r="BI49" s="332"/>
      <c r="BJ49" s="431"/>
      <c r="BK49" s="332"/>
      <c r="BL49" s="431"/>
      <c r="BM49" s="332"/>
      <c r="BN49" s="431"/>
      <c r="BO49" s="332"/>
      <c r="BP49" s="431"/>
      <c r="BQ49" s="332"/>
      <c r="BR49" s="431"/>
      <c r="BS49" s="332"/>
      <c r="BT49" s="431"/>
      <c r="BU49" s="332"/>
      <c r="BV49" s="431"/>
      <c r="BW49" s="330">
        <v>47130.63</v>
      </c>
      <c r="BX49" s="429">
        <v>47130.63</v>
      </c>
      <c r="BY49" s="430">
        <v>1</v>
      </c>
      <c r="BZ49" s="430" t="s">
        <v>555</v>
      </c>
      <c r="CA49" s="430">
        <v>11782.660000000003</v>
      </c>
      <c r="CB49" s="20">
        <v>0</v>
      </c>
      <c r="CC49" s="329"/>
    </row>
    <row r="50" spans="1:81" x14ac:dyDescent="0.25">
      <c r="A50" s="329" t="s">
        <v>57</v>
      </c>
      <c r="B50" s="329" t="s">
        <v>103</v>
      </c>
      <c r="C50" s="329" t="s">
        <v>186</v>
      </c>
      <c r="D50" s="329" t="s">
        <v>828</v>
      </c>
      <c r="E50" s="329" t="s">
        <v>829</v>
      </c>
      <c r="F50" s="419" t="s">
        <v>303</v>
      </c>
      <c r="G50" s="420"/>
      <c r="H50" s="419"/>
      <c r="I50" s="329"/>
      <c r="J50" s="20">
        <v>154</v>
      </c>
      <c r="K50" s="20">
        <v>20504</v>
      </c>
      <c r="L50" s="415">
        <v>318060</v>
      </c>
      <c r="M50" s="20">
        <v>51</v>
      </c>
      <c r="N50" s="20">
        <v>5868</v>
      </c>
      <c r="O50" s="415">
        <v>119222.63999999998</v>
      </c>
      <c r="P50" s="20">
        <v>19</v>
      </c>
      <c r="Q50" s="20">
        <v>95</v>
      </c>
      <c r="R50" s="415">
        <v>16340</v>
      </c>
      <c r="S50" s="20">
        <v>18</v>
      </c>
      <c r="T50" s="20">
        <v>90</v>
      </c>
      <c r="U50" s="415">
        <v>15480</v>
      </c>
      <c r="V50" s="20"/>
      <c r="W50" s="585"/>
      <c r="X50" s="20"/>
      <c r="Y50" s="585"/>
      <c r="Z50" s="20"/>
      <c r="AA50" s="585"/>
      <c r="AB50" s="20"/>
      <c r="AC50" s="585"/>
      <c r="AD50" s="20"/>
      <c r="AE50" s="585"/>
      <c r="AF50" s="586"/>
      <c r="AG50" s="585"/>
      <c r="AH50" s="586"/>
      <c r="AI50" s="585"/>
      <c r="AJ50" s="20"/>
      <c r="AK50" s="20"/>
      <c r="AL50" s="20"/>
      <c r="AM50" s="20"/>
      <c r="AN50" s="20"/>
      <c r="AO50" s="423">
        <v>242</v>
      </c>
      <c r="AP50" s="415">
        <v>72660</v>
      </c>
      <c r="AQ50" s="415">
        <v>541762.64</v>
      </c>
      <c r="AR50" s="20">
        <v>1</v>
      </c>
      <c r="AS50" s="20">
        <v>0</v>
      </c>
      <c r="AT50" s="415"/>
      <c r="AU50" s="415">
        <v>541762.64</v>
      </c>
      <c r="AV50" s="20" t="s">
        <v>247</v>
      </c>
      <c r="AW50" s="424">
        <v>0</v>
      </c>
      <c r="AX50" s="424">
        <v>541762.64</v>
      </c>
      <c r="AY50" s="294">
        <v>216705.06</v>
      </c>
      <c r="AZ50" s="425" t="s">
        <v>576</v>
      </c>
      <c r="BA50" s="294">
        <v>216705.06</v>
      </c>
      <c r="BB50" s="426"/>
      <c r="BC50" s="294">
        <v>108352.52000000002</v>
      </c>
      <c r="BD50" s="426"/>
      <c r="BE50" s="332"/>
      <c r="BF50" s="421"/>
      <c r="BG50" s="332"/>
      <c r="BH50" s="428"/>
      <c r="BI50" s="332"/>
      <c r="BJ50" s="431"/>
      <c r="BK50" s="332"/>
      <c r="BL50" s="431"/>
      <c r="BM50" s="332"/>
      <c r="BN50" s="431"/>
      <c r="BO50" s="332"/>
      <c r="BP50" s="431"/>
      <c r="BQ50" s="332"/>
      <c r="BR50" s="431"/>
      <c r="BS50" s="332"/>
      <c r="BT50" s="431"/>
      <c r="BU50" s="332"/>
      <c r="BV50" s="431"/>
      <c r="BW50" s="330">
        <v>216705.06</v>
      </c>
      <c r="BX50" s="429">
        <v>216705.06</v>
      </c>
      <c r="BY50" s="430">
        <v>1</v>
      </c>
      <c r="BZ50" s="430" t="s">
        <v>555</v>
      </c>
      <c r="CA50" s="430">
        <v>216705.06</v>
      </c>
      <c r="CB50" s="20">
        <v>0</v>
      </c>
      <c r="CC50" s="329"/>
    </row>
    <row r="51" spans="1:81" x14ac:dyDescent="0.25">
      <c r="A51" s="329" t="s">
        <v>58</v>
      </c>
      <c r="B51" s="329" t="s">
        <v>119</v>
      </c>
      <c r="C51" s="329" t="s">
        <v>187</v>
      </c>
      <c r="D51" s="329" t="s">
        <v>830</v>
      </c>
      <c r="E51" s="329" t="s">
        <v>831</v>
      </c>
      <c r="F51" s="419" t="s">
        <v>304</v>
      </c>
      <c r="G51" s="420"/>
      <c r="H51" s="419"/>
      <c r="I51" s="329"/>
      <c r="J51" s="20">
        <v>825</v>
      </c>
      <c r="K51" s="20">
        <v>109428</v>
      </c>
      <c r="L51" s="415">
        <v>1701270</v>
      </c>
      <c r="M51" s="20">
        <v>264</v>
      </c>
      <c r="N51" s="20">
        <v>30126</v>
      </c>
      <c r="O51" s="415">
        <v>614559.77999999991</v>
      </c>
      <c r="P51" s="20">
        <v>106</v>
      </c>
      <c r="Q51" s="20">
        <v>530</v>
      </c>
      <c r="R51" s="415">
        <v>91160</v>
      </c>
      <c r="S51" s="20">
        <v>39</v>
      </c>
      <c r="T51" s="20">
        <v>195</v>
      </c>
      <c r="U51" s="415">
        <v>33540</v>
      </c>
      <c r="V51" s="20">
        <v>5</v>
      </c>
      <c r="W51" s="585">
        <v>30000</v>
      </c>
      <c r="X51" s="20"/>
      <c r="Y51" s="585"/>
      <c r="Z51" s="20"/>
      <c r="AA51" s="585"/>
      <c r="AB51" s="20"/>
      <c r="AC51" s="585"/>
      <c r="AD51" s="20"/>
      <c r="AE51" s="585"/>
      <c r="AF51" s="586"/>
      <c r="AG51" s="585"/>
      <c r="AH51" s="586">
        <v>75</v>
      </c>
      <c r="AI51" s="585">
        <v>30000</v>
      </c>
      <c r="AJ51" s="20"/>
      <c r="AK51" s="20"/>
      <c r="AL51" s="20"/>
      <c r="AM51" s="20"/>
      <c r="AN51" s="20"/>
      <c r="AO51" s="423">
        <v>1234</v>
      </c>
      <c r="AP51" s="415">
        <v>300820</v>
      </c>
      <c r="AQ51" s="415">
        <v>2771349.78</v>
      </c>
      <c r="AR51" s="20">
        <v>1</v>
      </c>
      <c r="AS51" s="20">
        <v>0</v>
      </c>
      <c r="AT51" s="415"/>
      <c r="AU51" s="415">
        <v>2771349.78</v>
      </c>
      <c r="AV51" s="20" t="s">
        <v>247</v>
      </c>
      <c r="AW51" s="424">
        <v>0</v>
      </c>
      <c r="AX51" s="424">
        <v>2771349.78</v>
      </c>
      <c r="AY51" s="294">
        <v>1108539.9099999999</v>
      </c>
      <c r="AZ51" s="425" t="s">
        <v>576</v>
      </c>
      <c r="BA51" s="294">
        <v>1108539.9099999999</v>
      </c>
      <c r="BB51" s="426"/>
      <c r="BC51" s="294">
        <v>554269.96</v>
      </c>
      <c r="BD51" s="426"/>
      <c r="BE51" s="332"/>
      <c r="BF51" s="421"/>
      <c r="BG51" s="332"/>
      <c r="BH51" s="428"/>
      <c r="BI51" s="332"/>
      <c r="BJ51" s="431"/>
      <c r="BK51" s="332"/>
      <c r="BL51" s="431"/>
      <c r="BM51" s="332"/>
      <c r="BN51" s="431"/>
      <c r="BO51" s="332"/>
      <c r="BP51" s="431"/>
      <c r="BQ51" s="332"/>
      <c r="BR51" s="431"/>
      <c r="BS51" s="332"/>
      <c r="BT51" s="431"/>
      <c r="BU51" s="332"/>
      <c r="BV51" s="431"/>
      <c r="BW51" s="330">
        <v>1108539.9099999999</v>
      </c>
      <c r="BX51" s="429">
        <v>1108539.9099999999</v>
      </c>
      <c r="BY51" s="430">
        <v>1</v>
      </c>
      <c r="BZ51" s="430" t="s">
        <v>555</v>
      </c>
      <c r="CA51" s="430">
        <v>1108539.9099999999</v>
      </c>
      <c r="CB51" s="20">
        <v>0</v>
      </c>
      <c r="CC51" s="329"/>
    </row>
    <row r="52" spans="1:81" x14ac:dyDescent="0.25">
      <c r="A52" s="329" t="s">
        <v>59</v>
      </c>
      <c r="B52" s="329" t="s">
        <v>104</v>
      </c>
      <c r="C52" s="329" t="s">
        <v>188</v>
      </c>
      <c r="D52" s="329" t="s">
        <v>832</v>
      </c>
      <c r="E52" s="329" t="s">
        <v>833</v>
      </c>
      <c r="F52" s="419" t="s">
        <v>305</v>
      </c>
      <c r="G52" s="420"/>
      <c r="H52" s="419"/>
      <c r="I52" s="329"/>
      <c r="J52" s="20">
        <v>116</v>
      </c>
      <c r="K52" s="20">
        <v>15388</v>
      </c>
      <c r="L52" s="415">
        <v>239220</v>
      </c>
      <c r="M52" s="20">
        <v>48</v>
      </c>
      <c r="N52" s="20">
        <v>5505</v>
      </c>
      <c r="O52" s="415">
        <v>112024.34999999999</v>
      </c>
      <c r="P52" s="20">
        <v>4</v>
      </c>
      <c r="Q52" s="20">
        <v>20</v>
      </c>
      <c r="R52" s="415">
        <v>3440</v>
      </c>
      <c r="S52" s="20">
        <v>4</v>
      </c>
      <c r="T52" s="20">
        <v>20</v>
      </c>
      <c r="U52" s="415">
        <v>3440</v>
      </c>
      <c r="V52" s="20"/>
      <c r="W52" s="585"/>
      <c r="X52" s="20"/>
      <c r="Y52" s="585"/>
      <c r="Z52" s="20"/>
      <c r="AA52" s="585"/>
      <c r="AB52" s="20"/>
      <c r="AC52" s="585"/>
      <c r="AD52" s="20"/>
      <c r="AE52" s="585"/>
      <c r="AF52" s="586">
        <v>1</v>
      </c>
      <c r="AG52" s="585">
        <v>8000</v>
      </c>
      <c r="AH52" s="586">
        <v>20</v>
      </c>
      <c r="AI52" s="585">
        <v>8000</v>
      </c>
      <c r="AJ52" s="20"/>
      <c r="AK52" s="20"/>
      <c r="AL52" s="20"/>
      <c r="AM52" s="20"/>
      <c r="AN52" s="20"/>
      <c r="AO52" s="423">
        <v>172</v>
      </c>
      <c r="AP52" s="415">
        <v>56560</v>
      </c>
      <c r="AQ52" s="415">
        <v>422684.35</v>
      </c>
      <c r="AR52" s="20">
        <v>1</v>
      </c>
      <c r="AS52" s="20">
        <v>0</v>
      </c>
      <c r="AT52" s="415"/>
      <c r="AU52" s="415">
        <v>422684.35</v>
      </c>
      <c r="AV52" s="20" t="s">
        <v>244</v>
      </c>
      <c r="AW52" s="424">
        <v>0</v>
      </c>
      <c r="AX52" s="424">
        <v>422684.35</v>
      </c>
      <c r="AY52" s="294">
        <v>338147.48</v>
      </c>
      <c r="AZ52" s="425" t="s">
        <v>576</v>
      </c>
      <c r="BA52" s="294">
        <v>84536.87</v>
      </c>
      <c r="BB52" s="426"/>
      <c r="BC52" s="332"/>
      <c r="BD52" s="331"/>
      <c r="BE52" s="332"/>
      <c r="BF52" s="421"/>
      <c r="BG52" s="332"/>
      <c r="BH52" s="428"/>
      <c r="BI52" s="332"/>
      <c r="BJ52" s="428"/>
      <c r="BK52" s="332"/>
      <c r="BL52" s="431"/>
      <c r="BM52" s="332"/>
      <c r="BN52" s="431"/>
      <c r="BO52" s="332"/>
      <c r="BP52" s="431"/>
      <c r="BQ52" s="332"/>
      <c r="BR52" s="431"/>
      <c r="BS52" s="332"/>
      <c r="BT52" s="431"/>
      <c r="BU52" s="332"/>
      <c r="BV52" s="431"/>
      <c r="BW52" s="330">
        <v>338147.48</v>
      </c>
      <c r="BX52" s="429">
        <v>338147.48</v>
      </c>
      <c r="BY52" s="430">
        <v>1</v>
      </c>
      <c r="BZ52" s="430" t="s">
        <v>555</v>
      </c>
      <c r="CA52" s="430">
        <v>84536.87</v>
      </c>
      <c r="CB52" s="20">
        <v>0</v>
      </c>
      <c r="CC52" s="329"/>
    </row>
    <row r="53" spans="1:81" x14ac:dyDescent="0.25">
      <c r="A53" s="329" t="s">
        <v>60</v>
      </c>
      <c r="B53" s="329" t="s">
        <v>105</v>
      </c>
      <c r="C53" s="329" t="s">
        <v>189</v>
      </c>
      <c r="D53" s="329" t="s">
        <v>834</v>
      </c>
      <c r="E53" s="329" t="s">
        <v>835</v>
      </c>
      <c r="F53" s="419" t="s">
        <v>667</v>
      </c>
      <c r="G53" s="420"/>
      <c r="H53" s="419"/>
      <c r="I53" s="329"/>
      <c r="J53" s="20">
        <v>130</v>
      </c>
      <c r="K53" s="20">
        <v>17241</v>
      </c>
      <c r="L53" s="415">
        <v>268065</v>
      </c>
      <c r="M53" s="20">
        <v>39</v>
      </c>
      <c r="N53" s="20">
        <v>4517</v>
      </c>
      <c r="O53" s="415">
        <v>91478.909999999989</v>
      </c>
      <c r="P53" s="20">
        <v>16</v>
      </c>
      <c r="Q53" s="20">
        <v>80</v>
      </c>
      <c r="R53" s="415">
        <v>13760</v>
      </c>
      <c r="S53" s="20">
        <v>24</v>
      </c>
      <c r="T53" s="20">
        <v>120</v>
      </c>
      <c r="U53" s="415">
        <v>20640</v>
      </c>
      <c r="V53" s="20"/>
      <c r="W53" s="585"/>
      <c r="X53" s="20"/>
      <c r="Y53" s="585"/>
      <c r="Z53" s="20"/>
      <c r="AA53" s="585"/>
      <c r="AB53" s="20"/>
      <c r="AC53" s="585"/>
      <c r="AD53" s="20"/>
      <c r="AE53" s="585"/>
      <c r="AF53" s="586">
        <v>1</v>
      </c>
      <c r="AG53" s="585">
        <v>8000</v>
      </c>
      <c r="AH53" s="586">
        <v>20</v>
      </c>
      <c r="AI53" s="585">
        <v>8000</v>
      </c>
      <c r="AJ53" s="20"/>
      <c r="AK53" s="20"/>
      <c r="AL53" s="20"/>
      <c r="AM53" s="20"/>
      <c r="AN53" s="20"/>
      <c r="AO53" s="423">
        <v>209</v>
      </c>
      <c r="AP53" s="415">
        <v>65070</v>
      </c>
      <c r="AQ53" s="415">
        <v>467013.91</v>
      </c>
      <c r="AR53" s="20">
        <v>1</v>
      </c>
      <c r="AS53" s="20">
        <v>0</v>
      </c>
      <c r="AT53" s="415"/>
      <c r="AU53" s="415">
        <v>467013.91</v>
      </c>
      <c r="AV53" s="20" t="s">
        <v>244</v>
      </c>
      <c r="AW53" s="424">
        <v>0</v>
      </c>
      <c r="AX53" s="424">
        <v>467013.91</v>
      </c>
      <c r="AY53" s="294">
        <v>373611.13</v>
      </c>
      <c r="AZ53" s="425" t="s">
        <v>576</v>
      </c>
      <c r="BA53" s="294">
        <v>93402.77999999997</v>
      </c>
      <c r="BB53" s="426"/>
      <c r="BC53" s="332"/>
      <c r="BD53" s="331"/>
      <c r="BE53" s="332"/>
      <c r="BF53" s="421"/>
      <c r="BG53" s="332"/>
      <c r="BH53" s="428"/>
      <c r="BI53" s="332"/>
      <c r="BJ53" s="431"/>
      <c r="BK53" s="332"/>
      <c r="BL53" s="431"/>
      <c r="BM53" s="332"/>
      <c r="BN53" s="431"/>
      <c r="BO53" s="332"/>
      <c r="BP53" s="431"/>
      <c r="BQ53" s="332"/>
      <c r="BR53" s="431"/>
      <c r="BS53" s="332"/>
      <c r="BT53" s="431"/>
      <c r="BU53" s="332"/>
      <c r="BV53" s="431"/>
      <c r="BW53" s="330">
        <v>373611.13</v>
      </c>
      <c r="BX53" s="429">
        <v>373611.13</v>
      </c>
      <c r="BY53" s="430">
        <v>1</v>
      </c>
      <c r="BZ53" s="430" t="s">
        <v>555</v>
      </c>
      <c r="CA53" s="430">
        <v>93402.77999999997</v>
      </c>
      <c r="CB53" s="20">
        <v>0</v>
      </c>
      <c r="CC53" s="329"/>
    </row>
    <row r="54" spans="1:81" x14ac:dyDescent="0.25">
      <c r="A54" s="329" t="s">
        <v>61</v>
      </c>
      <c r="B54" s="329" t="s">
        <v>106</v>
      </c>
      <c r="C54" s="329" t="s">
        <v>190</v>
      </c>
      <c r="D54" s="329" t="s">
        <v>836</v>
      </c>
      <c r="E54" s="329" t="s">
        <v>837</v>
      </c>
      <c r="F54" s="419" t="s">
        <v>252</v>
      </c>
      <c r="G54" s="420"/>
      <c r="H54" s="419"/>
      <c r="I54" s="329"/>
      <c r="J54" s="20">
        <v>2</v>
      </c>
      <c r="K54" s="20">
        <v>282</v>
      </c>
      <c r="L54" s="415">
        <v>4230</v>
      </c>
      <c r="M54" s="20">
        <v>58</v>
      </c>
      <c r="N54" s="20">
        <v>6614</v>
      </c>
      <c r="O54" s="415">
        <v>134969.21999999997</v>
      </c>
      <c r="P54" s="20">
        <v>2</v>
      </c>
      <c r="Q54" s="20">
        <v>10</v>
      </c>
      <c r="R54" s="415">
        <v>1720</v>
      </c>
      <c r="S54" s="20">
        <v>16</v>
      </c>
      <c r="T54" s="20">
        <v>80</v>
      </c>
      <c r="U54" s="415">
        <v>13760</v>
      </c>
      <c r="V54" s="20"/>
      <c r="W54" s="585"/>
      <c r="X54" s="20"/>
      <c r="Y54" s="585"/>
      <c r="Z54" s="20"/>
      <c r="AA54" s="585"/>
      <c r="AB54" s="20"/>
      <c r="AC54" s="585"/>
      <c r="AD54" s="20"/>
      <c r="AE54" s="585"/>
      <c r="AF54" s="586"/>
      <c r="AG54" s="585"/>
      <c r="AH54" s="586"/>
      <c r="AI54" s="585"/>
      <c r="AJ54" s="20"/>
      <c r="AK54" s="20"/>
      <c r="AL54" s="20"/>
      <c r="AM54" s="20"/>
      <c r="AN54" s="20"/>
      <c r="AO54" s="423">
        <v>78</v>
      </c>
      <c r="AP54" s="415">
        <v>31200</v>
      </c>
      <c r="AQ54" s="415">
        <v>185879.21999999997</v>
      </c>
      <c r="AR54" s="20">
        <v>1</v>
      </c>
      <c r="AS54" s="20">
        <v>0</v>
      </c>
      <c r="AT54" s="415"/>
      <c r="AU54" s="415">
        <v>185879.21999999997</v>
      </c>
      <c r="AV54" s="20" t="s">
        <v>244</v>
      </c>
      <c r="AW54" s="424">
        <v>0</v>
      </c>
      <c r="AX54" s="424">
        <v>185879.21999999997</v>
      </c>
      <c r="AY54" s="294">
        <v>148703.38</v>
      </c>
      <c r="AZ54" s="425" t="s">
        <v>576</v>
      </c>
      <c r="BA54" s="294">
        <v>37175.839999999967</v>
      </c>
      <c r="BB54" s="426"/>
      <c r="BC54" s="332"/>
      <c r="BD54" s="331"/>
      <c r="BE54" s="332"/>
      <c r="BF54" s="421"/>
      <c r="BG54" s="332"/>
      <c r="BH54" s="428"/>
      <c r="BI54" s="332"/>
      <c r="BJ54" s="431"/>
      <c r="BK54" s="332"/>
      <c r="BL54" s="431"/>
      <c r="BM54" s="332"/>
      <c r="BN54" s="431"/>
      <c r="BO54" s="332"/>
      <c r="BP54" s="431"/>
      <c r="BQ54" s="332"/>
      <c r="BR54" s="431"/>
      <c r="BS54" s="332"/>
      <c r="BT54" s="431"/>
      <c r="BU54" s="332"/>
      <c r="BV54" s="431"/>
      <c r="BW54" s="330">
        <v>148703.38</v>
      </c>
      <c r="BX54" s="429">
        <v>148703.38</v>
      </c>
      <c r="BY54" s="430">
        <v>1</v>
      </c>
      <c r="BZ54" s="430" t="s">
        <v>555</v>
      </c>
      <c r="CA54" s="430">
        <v>37175.839999999967</v>
      </c>
      <c r="CB54" s="20">
        <v>0</v>
      </c>
      <c r="CC54" s="329"/>
    </row>
    <row r="55" spans="1:81" x14ac:dyDescent="0.25">
      <c r="A55" s="329" t="s">
        <v>62</v>
      </c>
      <c r="B55" s="329" t="s">
        <v>107</v>
      </c>
      <c r="C55" s="329" t="s">
        <v>191</v>
      </c>
      <c r="D55" s="329" t="s">
        <v>838</v>
      </c>
      <c r="E55" s="329" t="s">
        <v>839</v>
      </c>
      <c r="F55" s="419" t="s">
        <v>306</v>
      </c>
      <c r="G55" s="420"/>
      <c r="H55" s="419"/>
      <c r="I55" s="329"/>
      <c r="J55" s="20">
        <v>446</v>
      </c>
      <c r="K55" s="20">
        <v>59135</v>
      </c>
      <c r="L55" s="415">
        <v>919575</v>
      </c>
      <c r="M55" s="20">
        <v>65</v>
      </c>
      <c r="N55" s="20">
        <v>7461</v>
      </c>
      <c r="O55" s="415">
        <v>151765.22999999998</v>
      </c>
      <c r="P55" s="20">
        <v>16</v>
      </c>
      <c r="Q55" s="20">
        <v>80</v>
      </c>
      <c r="R55" s="415">
        <v>13760</v>
      </c>
      <c r="S55" s="20">
        <v>24</v>
      </c>
      <c r="T55" s="20">
        <v>120</v>
      </c>
      <c r="U55" s="415">
        <v>20640</v>
      </c>
      <c r="V55" s="20"/>
      <c r="W55" s="585"/>
      <c r="X55" s="20"/>
      <c r="Y55" s="585"/>
      <c r="Z55" s="20"/>
      <c r="AA55" s="585"/>
      <c r="AB55" s="20"/>
      <c r="AC55" s="585"/>
      <c r="AD55" s="20"/>
      <c r="AE55" s="585"/>
      <c r="AF55" s="586">
        <v>2</v>
      </c>
      <c r="AG55" s="585">
        <v>16000</v>
      </c>
      <c r="AH55" s="586">
        <v>40</v>
      </c>
      <c r="AI55" s="585">
        <v>16000</v>
      </c>
      <c r="AJ55" s="20"/>
      <c r="AK55" s="20"/>
      <c r="AL55" s="20"/>
      <c r="AM55" s="20"/>
      <c r="AN55" s="20"/>
      <c r="AO55" s="423">
        <v>551</v>
      </c>
      <c r="AP55" s="415">
        <v>143730</v>
      </c>
      <c r="AQ55" s="415">
        <v>1265470.23</v>
      </c>
      <c r="AR55" s="20">
        <v>1</v>
      </c>
      <c r="AS55" s="20">
        <v>0</v>
      </c>
      <c r="AT55" s="415"/>
      <c r="AU55" s="415">
        <v>1265470.23</v>
      </c>
      <c r="AV55" s="20" t="s">
        <v>247</v>
      </c>
      <c r="AW55" s="424">
        <v>0</v>
      </c>
      <c r="AX55" s="424">
        <v>1265470.23</v>
      </c>
      <c r="AY55" s="294">
        <v>506188.09</v>
      </c>
      <c r="AZ55" s="425" t="s">
        <v>576</v>
      </c>
      <c r="BA55" s="294">
        <v>506188.09</v>
      </c>
      <c r="BB55" s="426"/>
      <c r="BC55" s="294">
        <v>253094.04999999987</v>
      </c>
      <c r="BD55" s="426"/>
      <c r="BE55" s="332"/>
      <c r="BF55" s="421"/>
      <c r="BG55" s="332"/>
      <c r="BH55" s="428"/>
      <c r="BI55" s="332"/>
      <c r="BJ55" s="431"/>
      <c r="BK55" s="332"/>
      <c r="BL55" s="431"/>
      <c r="BM55" s="332"/>
      <c r="BN55" s="431"/>
      <c r="BO55" s="332"/>
      <c r="BP55" s="431"/>
      <c r="BQ55" s="332"/>
      <c r="BR55" s="431"/>
      <c r="BS55" s="332"/>
      <c r="BT55" s="431"/>
      <c r="BU55" s="332"/>
      <c r="BV55" s="431"/>
      <c r="BW55" s="330">
        <v>506188.09</v>
      </c>
      <c r="BX55" s="429">
        <v>506188.09</v>
      </c>
      <c r="BY55" s="430">
        <v>1</v>
      </c>
      <c r="BZ55" s="430" t="s">
        <v>555</v>
      </c>
      <c r="CA55" s="430">
        <v>506188.09</v>
      </c>
      <c r="CB55" s="20">
        <v>0</v>
      </c>
      <c r="CC55" s="329"/>
    </row>
    <row r="56" spans="1:81" x14ac:dyDescent="0.25">
      <c r="A56" s="329" t="s">
        <v>63</v>
      </c>
      <c r="B56" s="329" t="s">
        <v>108</v>
      </c>
      <c r="C56" s="329" t="s">
        <v>192</v>
      </c>
      <c r="D56" s="329" t="s">
        <v>840</v>
      </c>
      <c r="E56" s="329" t="s">
        <v>841</v>
      </c>
      <c r="F56" s="419" t="s">
        <v>896</v>
      </c>
      <c r="G56" s="420"/>
      <c r="H56" s="419"/>
      <c r="I56" s="329"/>
      <c r="J56" s="20">
        <v>136</v>
      </c>
      <c r="K56" s="20">
        <v>18087</v>
      </c>
      <c r="L56" s="415">
        <v>280755</v>
      </c>
      <c r="M56" s="20">
        <v>120</v>
      </c>
      <c r="N56" s="20">
        <v>13712</v>
      </c>
      <c r="O56" s="415">
        <v>279536.15999999997</v>
      </c>
      <c r="P56" s="20">
        <v>20</v>
      </c>
      <c r="Q56" s="20">
        <v>100</v>
      </c>
      <c r="R56" s="415">
        <v>17200</v>
      </c>
      <c r="S56" s="20">
        <v>24</v>
      </c>
      <c r="T56" s="20">
        <v>120</v>
      </c>
      <c r="U56" s="415">
        <v>20640</v>
      </c>
      <c r="V56" s="20">
        <v>2</v>
      </c>
      <c r="W56" s="585">
        <v>12000</v>
      </c>
      <c r="X56" s="20"/>
      <c r="Y56" s="585"/>
      <c r="Z56" s="20"/>
      <c r="AA56" s="585"/>
      <c r="AB56" s="20"/>
      <c r="AC56" s="585"/>
      <c r="AD56" s="20"/>
      <c r="AE56" s="585"/>
      <c r="AF56" s="586"/>
      <c r="AG56" s="585"/>
      <c r="AH56" s="586">
        <v>30</v>
      </c>
      <c r="AI56" s="585">
        <v>12000</v>
      </c>
      <c r="AJ56" s="20"/>
      <c r="AK56" s="20"/>
      <c r="AL56" s="20"/>
      <c r="AM56" s="20"/>
      <c r="AN56" s="20"/>
      <c r="AO56" s="423">
        <v>300</v>
      </c>
      <c r="AP56" s="415">
        <v>86000</v>
      </c>
      <c r="AQ56" s="415">
        <v>696131.15999999992</v>
      </c>
      <c r="AR56" s="20">
        <v>1</v>
      </c>
      <c r="AS56" s="20">
        <v>0</v>
      </c>
      <c r="AT56" s="415"/>
      <c r="AU56" s="415">
        <v>696131.15999999992</v>
      </c>
      <c r="AV56" s="20" t="s">
        <v>247</v>
      </c>
      <c r="AW56" s="424">
        <v>0</v>
      </c>
      <c r="AX56" s="424">
        <v>696131.15999999992</v>
      </c>
      <c r="AY56" s="294">
        <v>278452.46000000002</v>
      </c>
      <c r="AZ56" s="425" t="s">
        <v>576</v>
      </c>
      <c r="BA56" s="294">
        <v>278452.46000000002</v>
      </c>
      <c r="BB56" s="426"/>
      <c r="BC56" s="294">
        <v>139226.23999999987</v>
      </c>
      <c r="BD56" s="426"/>
      <c r="BE56" s="427"/>
      <c r="BF56" s="331"/>
      <c r="BG56" s="427"/>
      <c r="BH56" s="428"/>
      <c r="BI56" s="332"/>
      <c r="BJ56" s="431"/>
      <c r="BK56" s="332"/>
      <c r="BL56" s="431"/>
      <c r="BM56" s="332"/>
      <c r="BN56" s="431"/>
      <c r="BO56" s="332"/>
      <c r="BP56" s="431"/>
      <c r="BQ56" s="332"/>
      <c r="BR56" s="431"/>
      <c r="BS56" s="332"/>
      <c r="BT56" s="431"/>
      <c r="BU56" s="332"/>
      <c r="BV56" s="431"/>
      <c r="BW56" s="330">
        <v>278452.46000000002</v>
      </c>
      <c r="BX56" s="429">
        <v>278452.46000000002</v>
      </c>
      <c r="BY56" s="430">
        <v>1</v>
      </c>
      <c r="BZ56" s="430" t="s">
        <v>555</v>
      </c>
      <c r="CA56" s="430">
        <v>278452.46000000002</v>
      </c>
      <c r="CB56" s="20">
        <v>0</v>
      </c>
      <c r="CC56" s="329"/>
    </row>
    <row r="57" spans="1:81" x14ac:dyDescent="0.25">
      <c r="A57" s="329" t="s">
        <v>64</v>
      </c>
      <c r="B57" s="329" t="s">
        <v>109</v>
      </c>
      <c r="C57" s="329" t="s">
        <v>193</v>
      </c>
      <c r="D57" s="329" t="s">
        <v>842</v>
      </c>
      <c r="E57" s="329" t="s">
        <v>843</v>
      </c>
      <c r="F57" s="419" t="s">
        <v>307</v>
      </c>
      <c r="G57" s="420"/>
      <c r="H57" s="419"/>
      <c r="I57" s="329"/>
      <c r="J57" s="20">
        <v>62</v>
      </c>
      <c r="K57" s="20">
        <v>8258</v>
      </c>
      <c r="L57" s="415">
        <v>128070</v>
      </c>
      <c r="M57" s="20">
        <v>48</v>
      </c>
      <c r="N57" s="20">
        <v>5505</v>
      </c>
      <c r="O57" s="415">
        <v>112024.34999999999</v>
      </c>
      <c r="P57" s="20">
        <v>11</v>
      </c>
      <c r="Q57" s="20">
        <v>55</v>
      </c>
      <c r="R57" s="415">
        <v>9460</v>
      </c>
      <c r="S57" s="20">
        <v>11</v>
      </c>
      <c r="T57" s="20">
        <v>55</v>
      </c>
      <c r="U57" s="415">
        <v>9460</v>
      </c>
      <c r="V57" s="20"/>
      <c r="W57" s="585"/>
      <c r="X57" s="20"/>
      <c r="Y57" s="585"/>
      <c r="Z57" s="20"/>
      <c r="AA57" s="585"/>
      <c r="AB57" s="20"/>
      <c r="AC57" s="585"/>
      <c r="AD57" s="20"/>
      <c r="AE57" s="585"/>
      <c r="AF57" s="586"/>
      <c r="AG57" s="585"/>
      <c r="AH57" s="586"/>
      <c r="AI57" s="585"/>
      <c r="AJ57" s="20"/>
      <c r="AK57" s="20"/>
      <c r="AL57" s="20"/>
      <c r="AM57" s="20"/>
      <c r="AN57" s="20"/>
      <c r="AO57" s="423">
        <v>132</v>
      </c>
      <c r="AP57" s="415">
        <v>47360</v>
      </c>
      <c r="AQ57" s="415">
        <v>306374.34999999998</v>
      </c>
      <c r="AR57" s="20">
        <v>1</v>
      </c>
      <c r="AS57" s="20">
        <v>0</v>
      </c>
      <c r="AT57" s="415"/>
      <c r="AU57" s="415">
        <v>306374.34999999998</v>
      </c>
      <c r="AV57" s="20" t="s">
        <v>244</v>
      </c>
      <c r="AW57" s="424">
        <v>0</v>
      </c>
      <c r="AX57" s="424">
        <v>306374.34999999998</v>
      </c>
      <c r="AY57" s="294">
        <v>245099.48</v>
      </c>
      <c r="AZ57" s="425" t="s">
        <v>576</v>
      </c>
      <c r="BA57" s="294">
        <v>61274.869999999966</v>
      </c>
      <c r="BB57" s="426"/>
      <c r="BC57" s="427"/>
      <c r="BD57" s="331"/>
      <c r="BE57" s="427"/>
      <c r="BF57" s="331"/>
      <c r="BG57" s="427"/>
      <c r="BH57" s="428"/>
      <c r="BI57" s="332"/>
      <c r="BJ57" s="431"/>
      <c r="BK57" s="332"/>
      <c r="BL57" s="431"/>
      <c r="BM57" s="332"/>
      <c r="BN57" s="431"/>
      <c r="BO57" s="332"/>
      <c r="BP57" s="431"/>
      <c r="BQ57" s="332"/>
      <c r="BR57" s="431"/>
      <c r="BS57" s="332"/>
      <c r="BT57" s="431"/>
      <c r="BU57" s="332"/>
      <c r="BV57" s="431"/>
      <c r="BW57" s="330">
        <v>245099.48</v>
      </c>
      <c r="BX57" s="429">
        <v>245099.48</v>
      </c>
      <c r="BY57" s="430">
        <v>1</v>
      </c>
      <c r="BZ57" s="430" t="s">
        <v>555</v>
      </c>
      <c r="CA57" s="430">
        <v>61274.869999999966</v>
      </c>
      <c r="CB57" s="20">
        <v>0</v>
      </c>
      <c r="CC57" s="329"/>
    </row>
    <row r="58" spans="1:81" x14ac:dyDescent="0.25">
      <c r="A58" s="329" t="s">
        <v>65</v>
      </c>
      <c r="B58" s="329" t="s">
        <v>129</v>
      </c>
      <c r="C58" s="329" t="s">
        <v>194</v>
      </c>
      <c r="D58" s="329" t="s">
        <v>844</v>
      </c>
      <c r="E58" s="329" t="s">
        <v>845</v>
      </c>
      <c r="F58" s="419" t="s">
        <v>897</v>
      </c>
      <c r="G58" s="420"/>
      <c r="H58" s="419"/>
      <c r="I58" s="329"/>
      <c r="J58" s="20">
        <v>46</v>
      </c>
      <c r="K58" s="20">
        <v>6123</v>
      </c>
      <c r="L58" s="415">
        <v>94995</v>
      </c>
      <c r="M58" s="20">
        <v>0</v>
      </c>
      <c r="N58" s="20">
        <v>0</v>
      </c>
      <c r="O58" s="415"/>
      <c r="P58" s="20">
        <v>23</v>
      </c>
      <c r="Q58" s="20">
        <v>115</v>
      </c>
      <c r="R58" s="415">
        <v>19780</v>
      </c>
      <c r="S58" s="20">
        <v>14</v>
      </c>
      <c r="T58" s="20">
        <v>70</v>
      </c>
      <c r="U58" s="415">
        <v>12040</v>
      </c>
      <c r="V58" s="20"/>
      <c r="W58" s="585"/>
      <c r="X58" s="20"/>
      <c r="Y58" s="585"/>
      <c r="Z58" s="20"/>
      <c r="AA58" s="585"/>
      <c r="AB58" s="20"/>
      <c r="AC58" s="585"/>
      <c r="AD58" s="20"/>
      <c r="AE58" s="585"/>
      <c r="AF58" s="586"/>
      <c r="AG58" s="585"/>
      <c r="AH58" s="586"/>
      <c r="AI58" s="585"/>
      <c r="AJ58" s="20"/>
      <c r="AK58" s="20"/>
      <c r="AL58" s="20"/>
      <c r="AM58" s="20"/>
      <c r="AN58" s="20"/>
      <c r="AO58" s="423">
        <v>83</v>
      </c>
      <c r="AP58" s="415">
        <v>33200</v>
      </c>
      <c r="AQ58" s="415">
        <v>160015</v>
      </c>
      <c r="AR58" s="20">
        <v>1</v>
      </c>
      <c r="AS58" s="20">
        <v>0</v>
      </c>
      <c r="AT58" s="415"/>
      <c r="AU58" s="415">
        <v>160015</v>
      </c>
      <c r="AV58" s="20" t="s">
        <v>244</v>
      </c>
      <c r="AW58" s="424">
        <v>0</v>
      </c>
      <c r="AX58" s="424">
        <v>160015</v>
      </c>
      <c r="AY58" s="294">
        <v>128012</v>
      </c>
      <c r="AZ58" s="425" t="s">
        <v>576</v>
      </c>
      <c r="BA58" s="294">
        <v>32003</v>
      </c>
      <c r="BB58" s="426"/>
      <c r="BC58" s="332"/>
      <c r="BD58" s="331"/>
      <c r="BE58" s="332"/>
      <c r="BF58" s="421"/>
      <c r="BG58" s="332"/>
      <c r="BH58" s="428"/>
      <c r="BI58" s="332"/>
      <c r="BJ58" s="431"/>
      <c r="BK58" s="332"/>
      <c r="BL58" s="431"/>
      <c r="BM58" s="332"/>
      <c r="BN58" s="431"/>
      <c r="BO58" s="332"/>
      <c r="BP58" s="431"/>
      <c r="BQ58" s="332"/>
      <c r="BR58" s="431"/>
      <c r="BS58" s="332"/>
      <c r="BT58" s="431"/>
      <c r="BU58" s="332"/>
      <c r="BV58" s="431"/>
      <c r="BW58" s="330">
        <v>128012</v>
      </c>
      <c r="BX58" s="429">
        <v>128012</v>
      </c>
      <c r="BY58" s="430">
        <v>1</v>
      </c>
      <c r="BZ58" s="430" t="s">
        <v>555</v>
      </c>
      <c r="CA58" s="430">
        <v>32003</v>
      </c>
      <c r="CB58" s="20">
        <v>0</v>
      </c>
      <c r="CC58" s="329"/>
    </row>
    <row r="59" spans="1:81" x14ac:dyDescent="0.25">
      <c r="A59" s="329" t="s">
        <v>66</v>
      </c>
      <c r="B59" s="329" t="s">
        <v>211</v>
      </c>
      <c r="C59" s="329" t="s">
        <v>195</v>
      </c>
      <c r="D59" s="329" t="s">
        <v>846</v>
      </c>
      <c r="E59" s="329" t="s">
        <v>847</v>
      </c>
      <c r="F59" s="419" t="s">
        <v>898</v>
      </c>
      <c r="G59" s="420"/>
      <c r="H59" s="419"/>
      <c r="I59" s="329"/>
      <c r="J59" s="20">
        <v>0</v>
      </c>
      <c r="K59" s="20">
        <v>0</v>
      </c>
      <c r="L59" s="415"/>
      <c r="M59" s="20">
        <v>0</v>
      </c>
      <c r="N59" s="20">
        <v>0</v>
      </c>
      <c r="O59" s="415"/>
      <c r="P59" s="20">
        <v>8</v>
      </c>
      <c r="Q59" s="20">
        <v>40</v>
      </c>
      <c r="R59" s="415">
        <v>6880</v>
      </c>
      <c r="S59" s="20">
        <v>12</v>
      </c>
      <c r="T59" s="20">
        <v>60</v>
      </c>
      <c r="U59" s="415">
        <v>10320</v>
      </c>
      <c r="V59" s="20"/>
      <c r="W59" s="585"/>
      <c r="X59" s="20"/>
      <c r="Y59" s="585"/>
      <c r="Z59" s="20"/>
      <c r="AA59" s="585"/>
      <c r="AB59" s="20"/>
      <c r="AC59" s="585"/>
      <c r="AD59" s="20"/>
      <c r="AE59" s="585"/>
      <c r="AF59" s="586">
        <v>1</v>
      </c>
      <c r="AG59" s="585">
        <v>8000</v>
      </c>
      <c r="AH59" s="586">
        <v>25</v>
      </c>
      <c r="AI59" s="585">
        <v>8000</v>
      </c>
      <c r="AJ59" s="20"/>
      <c r="AK59" s="20"/>
      <c r="AL59" s="20"/>
      <c r="AM59" s="20"/>
      <c r="AN59" s="20"/>
      <c r="AO59" s="423">
        <v>20</v>
      </c>
      <c r="AP59" s="415">
        <v>8000</v>
      </c>
      <c r="AQ59" s="415">
        <v>33200</v>
      </c>
      <c r="AR59" s="20">
        <v>1</v>
      </c>
      <c r="AS59" s="20">
        <v>0</v>
      </c>
      <c r="AT59" s="415"/>
      <c r="AU59" s="415">
        <v>33200</v>
      </c>
      <c r="AV59" s="20" t="s">
        <v>244</v>
      </c>
      <c r="AW59" s="424">
        <v>0</v>
      </c>
      <c r="AX59" s="424">
        <v>33200</v>
      </c>
      <c r="AY59" s="294">
        <v>26560</v>
      </c>
      <c r="AZ59" s="425" t="s">
        <v>576</v>
      </c>
      <c r="BA59" s="294">
        <v>6640</v>
      </c>
      <c r="BB59" s="426"/>
      <c r="BC59" s="332"/>
      <c r="BD59" s="331"/>
      <c r="BE59" s="332"/>
      <c r="BF59" s="421"/>
      <c r="BG59" s="332"/>
      <c r="BH59" s="428"/>
      <c r="BI59" s="332"/>
      <c r="BJ59" s="431"/>
      <c r="BK59" s="332"/>
      <c r="BL59" s="431"/>
      <c r="BM59" s="332"/>
      <c r="BN59" s="431"/>
      <c r="BO59" s="332"/>
      <c r="BP59" s="431"/>
      <c r="BQ59" s="332"/>
      <c r="BR59" s="431"/>
      <c r="BS59" s="332"/>
      <c r="BT59" s="431"/>
      <c r="BU59" s="332"/>
      <c r="BV59" s="431"/>
      <c r="BW59" s="330">
        <v>26560</v>
      </c>
      <c r="BX59" s="429">
        <v>26560</v>
      </c>
      <c r="BY59" s="430">
        <v>1</v>
      </c>
      <c r="BZ59" s="430" t="s">
        <v>555</v>
      </c>
      <c r="CA59" s="430">
        <v>6640</v>
      </c>
      <c r="CB59" s="20">
        <v>0</v>
      </c>
      <c r="CC59" s="329"/>
    </row>
    <row r="60" spans="1:81" x14ac:dyDescent="0.25">
      <c r="A60" s="329" t="s">
        <v>67</v>
      </c>
      <c r="B60" s="329" t="s">
        <v>218</v>
      </c>
      <c r="C60" s="329" t="s">
        <v>196</v>
      </c>
      <c r="D60" s="329" t="s">
        <v>848</v>
      </c>
      <c r="E60" s="329" t="s">
        <v>849</v>
      </c>
      <c r="F60" s="419" t="s">
        <v>309</v>
      </c>
      <c r="G60" s="420"/>
      <c r="H60" s="419"/>
      <c r="I60" s="329"/>
      <c r="J60" s="20">
        <v>26</v>
      </c>
      <c r="K60" s="20">
        <v>3545</v>
      </c>
      <c r="L60" s="415">
        <v>54225</v>
      </c>
      <c r="M60" s="20">
        <v>4</v>
      </c>
      <c r="N60" s="20">
        <v>484</v>
      </c>
      <c r="O60" s="415">
        <v>9597.7199999999993</v>
      </c>
      <c r="P60" s="20">
        <v>8</v>
      </c>
      <c r="Q60" s="20">
        <v>40</v>
      </c>
      <c r="R60" s="415">
        <v>6880</v>
      </c>
      <c r="S60" s="20">
        <v>11</v>
      </c>
      <c r="T60" s="20">
        <v>55</v>
      </c>
      <c r="U60" s="415">
        <v>9460</v>
      </c>
      <c r="V60" s="20"/>
      <c r="W60" s="585"/>
      <c r="X60" s="20"/>
      <c r="Y60" s="585"/>
      <c r="Z60" s="20"/>
      <c r="AA60" s="585"/>
      <c r="AB60" s="20"/>
      <c r="AC60" s="585"/>
      <c r="AD60" s="20"/>
      <c r="AE60" s="585"/>
      <c r="AF60" s="586">
        <v>1</v>
      </c>
      <c r="AG60" s="585">
        <v>8000</v>
      </c>
      <c r="AH60" s="586">
        <v>20</v>
      </c>
      <c r="AI60" s="585">
        <v>8000</v>
      </c>
      <c r="AJ60" s="20"/>
      <c r="AK60" s="20"/>
      <c r="AL60" s="20"/>
      <c r="AM60" s="20"/>
      <c r="AN60" s="20"/>
      <c r="AO60" s="423">
        <v>49</v>
      </c>
      <c r="AP60" s="415">
        <v>19600</v>
      </c>
      <c r="AQ60" s="415">
        <v>107762.72</v>
      </c>
      <c r="AR60" s="20">
        <v>1</v>
      </c>
      <c r="AS60" s="20">
        <v>0</v>
      </c>
      <c r="AT60" s="415"/>
      <c r="AU60" s="415">
        <v>107762.72</v>
      </c>
      <c r="AV60" s="20" t="s">
        <v>244</v>
      </c>
      <c r="AW60" s="424">
        <v>0</v>
      </c>
      <c r="AX60" s="424">
        <v>107762.72</v>
      </c>
      <c r="AY60" s="294">
        <v>86210.18</v>
      </c>
      <c r="AZ60" s="425" t="s">
        <v>576</v>
      </c>
      <c r="BA60" s="294">
        <v>21552.540000000008</v>
      </c>
      <c r="BB60" s="426"/>
      <c r="BC60" s="332"/>
      <c r="BD60" s="331"/>
      <c r="BE60" s="332"/>
      <c r="BF60" s="421"/>
      <c r="BG60" s="332"/>
      <c r="BH60" s="428"/>
      <c r="BI60" s="332"/>
      <c r="BJ60" s="431"/>
      <c r="BK60" s="332"/>
      <c r="BL60" s="431"/>
      <c r="BM60" s="332"/>
      <c r="BN60" s="431"/>
      <c r="BO60" s="332"/>
      <c r="BP60" s="431"/>
      <c r="BQ60" s="332"/>
      <c r="BR60" s="431"/>
      <c r="BS60" s="332"/>
      <c r="BT60" s="431"/>
      <c r="BU60" s="332"/>
      <c r="BV60" s="431"/>
      <c r="BW60" s="330">
        <v>86210.18</v>
      </c>
      <c r="BX60" s="429">
        <v>86210.18</v>
      </c>
      <c r="BY60" s="430">
        <v>1</v>
      </c>
      <c r="BZ60" s="430" t="s">
        <v>555</v>
      </c>
      <c r="CA60" s="430">
        <v>21552.540000000008</v>
      </c>
      <c r="CB60" s="20">
        <v>0</v>
      </c>
      <c r="CC60" s="329"/>
    </row>
    <row r="61" spans="1:81" x14ac:dyDescent="0.25">
      <c r="A61" s="329" t="s">
        <v>68</v>
      </c>
      <c r="B61" s="329" t="s">
        <v>212</v>
      </c>
      <c r="C61" s="329" t="s">
        <v>197</v>
      </c>
      <c r="D61" s="329" t="s">
        <v>850</v>
      </c>
      <c r="E61" s="329" t="s">
        <v>851</v>
      </c>
      <c r="F61" s="419" t="s">
        <v>310</v>
      </c>
      <c r="G61" s="420"/>
      <c r="H61" s="419"/>
      <c r="I61" s="329"/>
      <c r="J61" s="20">
        <v>0</v>
      </c>
      <c r="K61" s="20">
        <v>0</v>
      </c>
      <c r="L61" s="415"/>
      <c r="M61" s="20">
        <v>0</v>
      </c>
      <c r="N61" s="20">
        <v>0</v>
      </c>
      <c r="O61" s="415"/>
      <c r="P61" s="20">
        <v>4</v>
      </c>
      <c r="Q61" s="20">
        <v>20</v>
      </c>
      <c r="R61" s="415">
        <v>3440</v>
      </c>
      <c r="S61" s="20">
        <v>8</v>
      </c>
      <c r="T61" s="20">
        <v>40</v>
      </c>
      <c r="U61" s="415">
        <v>6880</v>
      </c>
      <c r="V61" s="20"/>
      <c r="W61" s="585"/>
      <c r="X61" s="20"/>
      <c r="Y61" s="585"/>
      <c r="Z61" s="20"/>
      <c r="AA61" s="585"/>
      <c r="AB61" s="20"/>
      <c r="AC61" s="585"/>
      <c r="AD61" s="20"/>
      <c r="AE61" s="585"/>
      <c r="AF61" s="586"/>
      <c r="AG61" s="585"/>
      <c r="AH61" s="586"/>
      <c r="AI61" s="585"/>
      <c r="AJ61" s="20"/>
      <c r="AK61" s="20"/>
      <c r="AL61" s="20"/>
      <c r="AM61" s="20"/>
      <c r="AN61" s="20"/>
      <c r="AO61" s="423">
        <v>12</v>
      </c>
      <c r="AP61" s="415">
        <v>4800</v>
      </c>
      <c r="AQ61" s="415">
        <v>15120</v>
      </c>
      <c r="AR61" s="20">
        <v>1</v>
      </c>
      <c r="AS61" s="20">
        <v>0</v>
      </c>
      <c r="AT61" s="415"/>
      <c r="AU61" s="415">
        <v>15120</v>
      </c>
      <c r="AV61" s="20" t="s">
        <v>244</v>
      </c>
      <c r="AW61" s="424">
        <v>0</v>
      </c>
      <c r="AX61" s="424">
        <v>15120</v>
      </c>
      <c r="AY61" s="294">
        <v>12096</v>
      </c>
      <c r="AZ61" s="425" t="s">
        <v>576</v>
      </c>
      <c r="BA61" s="294">
        <v>3024</v>
      </c>
      <c r="BB61" s="426"/>
      <c r="BC61" s="332"/>
      <c r="BD61" s="331"/>
      <c r="BE61" s="332"/>
      <c r="BF61" s="421"/>
      <c r="BG61" s="332"/>
      <c r="BH61" s="428"/>
      <c r="BI61" s="332"/>
      <c r="BJ61" s="431"/>
      <c r="BK61" s="332"/>
      <c r="BL61" s="431"/>
      <c r="BM61" s="332"/>
      <c r="BN61" s="431"/>
      <c r="BO61" s="332"/>
      <c r="BP61" s="431"/>
      <c r="BQ61" s="332"/>
      <c r="BR61" s="431"/>
      <c r="BS61" s="332"/>
      <c r="BT61" s="431"/>
      <c r="BU61" s="332"/>
      <c r="BV61" s="431"/>
      <c r="BW61" s="330">
        <v>12096</v>
      </c>
      <c r="BX61" s="429">
        <v>12096</v>
      </c>
      <c r="BY61" s="430">
        <v>1</v>
      </c>
      <c r="BZ61" s="430" t="s">
        <v>555</v>
      </c>
      <c r="CA61" s="430">
        <v>3024</v>
      </c>
      <c r="CB61" s="20">
        <v>0</v>
      </c>
      <c r="CC61" s="329"/>
    </row>
    <row r="62" spans="1:81" x14ac:dyDescent="0.25">
      <c r="A62" s="329" t="s">
        <v>522</v>
      </c>
      <c r="B62" s="329" t="s">
        <v>212</v>
      </c>
      <c r="C62" s="329" t="s">
        <v>197</v>
      </c>
      <c r="D62" s="329" t="s">
        <v>852</v>
      </c>
      <c r="E62" s="329" t="s">
        <v>853</v>
      </c>
      <c r="F62" s="419" t="s">
        <v>310</v>
      </c>
      <c r="G62" s="420"/>
      <c r="H62" s="419"/>
      <c r="I62" s="329"/>
      <c r="J62" s="20">
        <v>232</v>
      </c>
      <c r="K62" s="20">
        <v>30776</v>
      </c>
      <c r="L62" s="415">
        <v>478440</v>
      </c>
      <c r="M62" s="20">
        <v>54</v>
      </c>
      <c r="N62" s="20">
        <v>6231</v>
      </c>
      <c r="O62" s="415">
        <v>126420.93</v>
      </c>
      <c r="P62" s="20">
        <v>0</v>
      </c>
      <c r="Q62" s="20">
        <v>0</v>
      </c>
      <c r="R62" s="415"/>
      <c r="S62" s="20">
        <v>0</v>
      </c>
      <c r="T62" s="20">
        <v>0</v>
      </c>
      <c r="U62" s="415"/>
      <c r="V62" s="20"/>
      <c r="W62" s="585"/>
      <c r="X62" s="20"/>
      <c r="Y62" s="585"/>
      <c r="Z62" s="20"/>
      <c r="AA62" s="585"/>
      <c r="AB62" s="20"/>
      <c r="AC62" s="585"/>
      <c r="AD62" s="20"/>
      <c r="AE62" s="585"/>
      <c r="AF62" s="586"/>
      <c r="AG62" s="585"/>
      <c r="AH62" s="586"/>
      <c r="AI62" s="585"/>
      <c r="AJ62" s="20"/>
      <c r="AK62" s="20"/>
      <c r="AL62" s="20"/>
      <c r="AM62" s="20"/>
      <c r="AN62" s="20"/>
      <c r="AO62" s="423">
        <v>286</v>
      </c>
      <c r="AP62" s="415">
        <v>82780</v>
      </c>
      <c r="AQ62" s="415">
        <v>687640.92999999993</v>
      </c>
      <c r="AR62" s="20">
        <v>1</v>
      </c>
      <c r="AS62" s="20">
        <v>0</v>
      </c>
      <c r="AT62" s="415"/>
      <c r="AU62" s="415">
        <v>687640.92999999993</v>
      </c>
      <c r="AV62" s="20" t="s">
        <v>247</v>
      </c>
      <c r="AW62" s="424">
        <v>0</v>
      </c>
      <c r="AX62" s="424">
        <v>687640.92999999993</v>
      </c>
      <c r="AY62" s="294">
        <v>275056.37</v>
      </c>
      <c r="AZ62" s="425" t="s">
        <v>576</v>
      </c>
      <c r="BA62" s="294">
        <v>275056.37</v>
      </c>
      <c r="BB62" s="426"/>
      <c r="BC62" s="294">
        <v>137528.18999999994</v>
      </c>
      <c r="BD62" s="426"/>
      <c r="BE62" s="332"/>
      <c r="BF62" s="421"/>
      <c r="BG62" s="332"/>
      <c r="BH62" s="428"/>
      <c r="BI62" s="332"/>
      <c r="BJ62" s="431"/>
      <c r="BK62" s="332"/>
      <c r="BL62" s="431"/>
      <c r="BM62" s="332"/>
      <c r="BN62" s="431"/>
      <c r="BO62" s="332"/>
      <c r="BP62" s="431"/>
      <c r="BQ62" s="332"/>
      <c r="BR62" s="431"/>
      <c r="BS62" s="332"/>
      <c r="BT62" s="431"/>
      <c r="BU62" s="332"/>
      <c r="BV62" s="431"/>
      <c r="BW62" s="330">
        <v>275056.37</v>
      </c>
      <c r="BX62" s="429">
        <v>275056.37</v>
      </c>
      <c r="BY62" s="430">
        <v>1</v>
      </c>
      <c r="BZ62" s="430" t="s">
        <v>555</v>
      </c>
      <c r="CA62" s="430">
        <v>275056.37</v>
      </c>
      <c r="CB62" s="20">
        <v>0</v>
      </c>
      <c r="CC62" s="329"/>
    </row>
    <row r="63" spans="1:81" x14ac:dyDescent="0.25">
      <c r="A63" s="329" t="s">
        <v>69</v>
      </c>
      <c r="B63" s="329" t="s">
        <v>12</v>
      </c>
      <c r="C63" s="329" t="s">
        <v>198</v>
      </c>
      <c r="D63" s="329" t="s">
        <v>854</v>
      </c>
      <c r="E63" s="329" t="s">
        <v>855</v>
      </c>
      <c r="F63" s="419" t="s">
        <v>899</v>
      </c>
      <c r="G63" s="420"/>
      <c r="H63" s="419" t="s">
        <v>329</v>
      </c>
      <c r="I63" s="329"/>
      <c r="J63" s="20">
        <v>84</v>
      </c>
      <c r="K63" s="20">
        <v>11239</v>
      </c>
      <c r="L63" s="415">
        <v>173835</v>
      </c>
      <c r="M63" s="20">
        <v>109</v>
      </c>
      <c r="N63" s="20">
        <v>12482</v>
      </c>
      <c r="O63" s="415">
        <v>254191.86</v>
      </c>
      <c r="P63" s="20">
        <v>50</v>
      </c>
      <c r="Q63" s="20">
        <v>250</v>
      </c>
      <c r="R63" s="415">
        <v>43000</v>
      </c>
      <c r="S63" s="20">
        <v>64</v>
      </c>
      <c r="T63" s="20">
        <v>320</v>
      </c>
      <c r="U63" s="415">
        <v>55040</v>
      </c>
      <c r="V63" s="20">
        <v>3</v>
      </c>
      <c r="W63" s="585">
        <v>18000</v>
      </c>
      <c r="X63" s="20"/>
      <c r="Y63" s="585"/>
      <c r="Z63" s="20"/>
      <c r="AA63" s="585"/>
      <c r="AB63" s="20"/>
      <c r="AC63" s="585"/>
      <c r="AD63" s="20"/>
      <c r="AE63" s="585"/>
      <c r="AF63" s="586"/>
      <c r="AG63" s="585"/>
      <c r="AH63" s="586">
        <v>45</v>
      </c>
      <c r="AI63" s="585">
        <v>18000</v>
      </c>
      <c r="AJ63" s="20"/>
      <c r="AK63" s="20"/>
      <c r="AL63" s="20"/>
      <c r="AM63" s="20"/>
      <c r="AN63" s="20"/>
      <c r="AO63" s="423">
        <v>307</v>
      </c>
      <c r="AP63" s="415">
        <v>87610</v>
      </c>
      <c r="AQ63" s="415">
        <v>631676.86</v>
      </c>
      <c r="AR63" s="20">
        <v>1</v>
      </c>
      <c r="AS63" s="20">
        <v>0</v>
      </c>
      <c r="AT63" s="415"/>
      <c r="AU63" s="415">
        <v>631676.86</v>
      </c>
      <c r="AV63" s="20" t="s">
        <v>247</v>
      </c>
      <c r="AW63" s="424">
        <v>0</v>
      </c>
      <c r="AX63" s="424">
        <v>631676.86</v>
      </c>
      <c r="AY63" s="294">
        <v>252670.74</v>
      </c>
      <c r="AZ63" s="425" t="s">
        <v>576</v>
      </c>
      <c r="BA63" s="294">
        <v>252670.74</v>
      </c>
      <c r="BB63" s="426"/>
      <c r="BC63" s="294">
        <v>126335.38</v>
      </c>
      <c r="BD63" s="426"/>
      <c r="BE63" s="332"/>
      <c r="BF63" s="421"/>
      <c r="BG63" s="332"/>
      <c r="BH63" s="428"/>
      <c r="BI63" s="332"/>
      <c r="BJ63" s="431"/>
      <c r="BK63" s="332"/>
      <c r="BL63" s="431"/>
      <c r="BM63" s="332"/>
      <c r="BN63" s="431"/>
      <c r="BO63" s="332"/>
      <c r="BP63" s="431"/>
      <c r="BQ63" s="332"/>
      <c r="BR63" s="431"/>
      <c r="BS63" s="332"/>
      <c r="BT63" s="431"/>
      <c r="BU63" s="332"/>
      <c r="BV63" s="431"/>
      <c r="BW63" s="330">
        <v>252670.74</v>
      </c>
      <c r="BX63" s="429">
        <v>252670.74</v>
      </c>
      <c r="BY63" s="430">
        <v>1</v>
      </c>
      <c r="BZ63" s="430" t="s">
        <v>555</v>
      </c>
      <c r="CA63" s="430">
        <v>252670.74</v>
      </c>
      <c r="CB63" s="20">
        <v>0</v>
      </c>
      <c r="CC63" s="329"/>
    </row>
    <row r="64" spans="1:81" x14ac:dyDescent="0.25">
      <c r="A64" s="329" t="s">
        <v>70</v>
      </c>
      <c r="B64" s="329" t="s">
        <v>254</v>
      </c>
      <c r="C64" s="329" t="s">
        <v>199</v>
      </c>
      <c r="D64" s="329" t="s">
        <v>856</v>
      </c>
      <c r="E64" s="329" t="s">
        <v>857</v>
      </c>
      <c r="F64" s="419" t="s">
        <v>311</v>
      </c>
      <c r="G64" s="420"/>
      <c r="H64" s="419"/>
      <c r="I64" s="329"/>
      <c r="J64" s="20">
        <v>286</v>
      </c>
      <c r="K64" s="20">
        <v>37906</v>
      </c>
      <c r="L64" s="415">
        <v>589590</v>
      </c>
      <c r="M64" s="20">
        <v>88</v>
      </c>
      <c r="N64" s="20">
        <v>10042</v>
      </c>
      <c r="O64" s="415">
        <v>204853.25999999998</v>
      </c>
      <c r="P64" s="20">
        <v>11</v>
      </c>
      <c r="Q64" s="20">
        <v>55</v>
      </c>
      <c r="R64" s="415">
        <v>9460</v>
      </c>
      <c r="S64" s="20">
        <v>8</v>
      </c>
      <c r="T64" s="20">
        <v>40</v>
      </c>
      <c r="U64" s="415">
        <v>6880</v>
      </c>
      <c r="V64" s="20"/>
      <c r="W64" s="585"/>
      <c r="X64" s="20"/>
      <c r="Y64" s="585"/>
      <c r="Z64" s="20"/>
      <c r="AA64" s="585"/>
      <c r="AB64" s="20"/>
      <c r="AC64" s="585"/>
      <c r="AD64" s="20"/>
      <c r="AE64" s="585"/>
      <c r="AF64" s="586">
        <v>2</v>
      </c>
      <c r="AG64" s="585">
        <v>16000</v>
      </c>
      <c r="AH64" s="586">
        <v>40</v>
      </c>
      <c r="AI64" s="585">
        <v>16000</v>
      </c>
      <c r="AJ64" s="20"/>
      <c r="AK64" s="20"/>
      <c r="AL64" s="20"/>
      <c r="AM64" s="20"/>
      <c r="AN64" s="20"/>
      <c r="AO64" s="423">
        <v>393</v>
      </c>
      <c r="AP64" s="415">
        <v>107390</v>
      </c>
      <c r="AQ64" s="415">
        <v>934173.26</v>
      </c>
      <c r="AR64" s="20">
        <v>1</v>
      </c>
      <c r="AS64" s="20">
        <v>0</v>
      </c>
      <c r="AT64" s="415"/>
      <c r="AU64" s="415">
        <v>934173.26</v>
      </c>
      <c r="AV64" s="20" t="s">
        <v>247</v>
      </c>
      <c r="AW64" s="424">
        <v>0</v>
      </c>
      <c r="AX64" s="424">
        <v>934173.26</v>
      </c>
      <c r="AY64" s="294">
        <v>373669.3</v>
      </c>
      <c r="AZ64" s="425" t="s">
        <v>576</v>
      </c>
      <c r="BA64" s="294">
        <v>373669.3</v>
      </c>
      <c r="BB64" s="426"/>
      <c r="BC64" s="294">
        <v>186834.65999999997</v>
      </c>
      <c r="BD64" s="426"/>
      <c r="BE64" s="332"/>
      <c r="BF64" s="421"/>
      <c r="BG64" s="332"/>
      <c r="BH64" s="428"/>
      <c r="BI64" s="332"/>
      <c r="BJ64" s="431"/>
      <c r="BK64" s="332"/>
      <c r="BL64" s="431"/>
      <c r="BM64" s="332"/>
      <c r="BN64" s="431"/>
      <c r="BO64" s="332"/>
      <c r="BP64" s="431"/>
      <c r="BQ64" s="332"/>
      <c r="BR64" s="431"/>
      <c r="BS64" s="332"/>
      <c r="BT64" s="431"/>
      <c r="BU64" s="332"/>
      <c r="BV64" s="431"/>
      <c r="BW64" s="330">
        <v>373669.3</v>
      </c>
      <c r="BX64" s="429">
        <v>373669.3</v>
      </c>
      <c r="BY64" s="430">
        <v>1</v>
      </c>
      <c r="BZ64" s="430" t="s">
        <v>555</v>
      </c>
      <c r="CA64" s="430">
        <v>373669.3</v>
      </c>
      <c r="CB64" s="20">
        <v>0</v>
      </c>
      <c r="CC64" s="329"/>
    </row>
    <row r="65" spans="1:81" x14ac:dyDescent="0.25">
      <c r="A65" s="329" t="s">
        <v>71</v>
      </c>
      <c r="B65" s="329" t="s">
        <v>110</v>
      </c>
      <c r="C65" s="329" t="s">
        <v>200</v>
      </c>
      <c r="D65" s="329" t="s">
        <v>858</v>
      </c>
      <c r="E65" s="329" t="s">
        <v>859</v>
      </c>
      <c r="F65" s="419" t="s">
        <v>312</v>
      </c>
      <c r="G65" s="420"/>
      <c r="H65" s="419"/>
      <c r="I65" s="329"/>
      <c r="J65" s="20">
        <v>72</v>
      </c>
      <c r="K65" s="20">
        <v>9547</v>
      </c>
      <c r="L65" s="415">
        <v>148455</v>
      </c>
      <c r="M65" s="20">
        <v>20</v>
      </c>
      <c r="N65" s="20">
        <v>2319</v>
      </c>
      <c r="O65" s="415">
        <v>46939.17</v>
      </c>
      <c r="P65" s="20">
        <v>11</v>
      </c>
      <c r="Q65" s="20">
        <v>55</v>
      </c>
      <c r="R65" s="415">
        <v>9460</v>
      </c>
      <c r="S65" s="20">
        <v>4</v>
      </c>
      <c r="T65" s="20">
        <v>20</v>
      </c>
      <c r="U65" s="415">
        <v>3440</v>
      </c>
      <c r="V65" s="20">
        <v>2</v>
      </c>
      <c r="W65" s="585">
        <v>12000</v>
      </c>
      <c r="X65" s="20"/>
      <c r="Y65" s="585"/>
      <c r="Z65" s="20"/>
      <c r="AA65" s="585"/>
      <c r="AB65" s="20"/>
      <c r="AC65" s="585"/>
      <c r="AD65" s="20"/>
      <c r="AE65" s="585"/>
      <c r="AF65" s="586"/>
      <c r="AG65" s="585"/>
      <c r="AH65" s="586">
        <v>30</v>
      </c>
      <c r="AI65" s="585">
        <v>12000</v>
      </c>
      <c r="AJ65" s="20"/>
      <c r="AK65" s="20"/>
      <c r="AL65" s="20"/>
      <c r="AM65" s="20"/>
      <c r="AN65" s="20"/>
      <c r="AO65" s="423">
        <v>107</v>
      </c>
      <c r="AP65" s="415">
        <v>41610</v>
      </c>
      <c r="AQ65" s="415">
        <v>261904.16999999998</v>
      </c>
      <c r="AR65" s="20">
        <v>1</v>
      </c>
      <c r="AS65" s="20">
        <v>0</v>
      </c>
      <c r="AT65" s="415"/>
      <c r="AU65" s="415">
        <v>261904.16999999998</v>
      </c>
      <c r="AV65" s="20" t="s">
        <v>244</v>
      </c>
      <c r="AW65" s="424">
        <v>0</v>
      </c>
      <c r="AX65" s="424">
        <v>261904.16999999998</v>
      </c>
      <c r="AY65" s="294">
        <v>209523.34</v>
      </c>
      <c r="AZ65" s="425" t="s">
        <v>576</v>
      </c>
      <c r="BA65" s="294">
        <v>52380.829999999987</v>
      </c>
      <c r="BB65" s="426"/>
      <c r="BC65" s="332"/>
      <c r="BD65" s="331"/>
      <c r="BE65" s="332"/>
      <c r="BF65" s="421"/>
      <c r="BG65" s="332"/>
      <c r="BH65" s="428"/>
      <c r="BI65" s="332"/>
      <c r="BJ65" s="431"/>
      <c r="BK65" s="332"/>
      <c r="BL65" s="431"/>
      <c r="BM65" s="332"/>
      <c r="BN65" s="431"/>
      <c r="BO65" s="332"/>
      <c r="BP65" s="431"/>
      <c r="BQ65" s="332"/>
      <c r="BR65" s="431"/>
      <c r="BS65" s="332"/>
      <c r="BT65" s="431"/>
      <c r="BU65" s="332"/>
      <c r="BV65" s="431"/>
      <c r="BW65" s="330">
        <v>209523.34</v>
      </c>
      <c r="BX65" s="429">
        <v>209523.34</v>
      </c>
      <c r="BY65" s="430">
        <v>1</v>
      </c>
      <c r="BZ65" s="430" t="s">
        <v>555</v>
      </c>
      <c r="CA65" s="430">
        <v>52380.829999999987</v>
      </c>
      <c r="CB65" s="20">
        <v>0</v>
      </c>
      <c r="CC65" s="329"/>
    </row>
    <row r="66" spans="1:81" x14ac:dyDescent="0.25">
      <c r="A66" s="329" t="s">
        <v>72</v>
      </c>
      <c r="B66" s="329" t="s">
        <v>120</v>
      </c>
      <c r="C66" s="329" t="s">
        <v>201</v>
      </c>
      <c r="D66" s="329" t="s">
        <v>860</v>
      </c>
      <c r="E66" s="329" t="s">
        <v>861</v>
      </c>
      <c r="F66" s="419" t="s">
        <v>313</v>
      </c>
      <c r="G66" s="420"/>
      <c r="H66" s="419"/>
      <c r="I66" s="329"/>
      <c r="J66" s="20">
        <v>8</v>
      </c>
      <c r="K66" s="20">
        <v>1128</v>
      </c>
      <c r="L66" s="415">
        <v>16920</v>
      </c>
      <c r="M66" s="20">
        <v>3</v>
      </c>
      <c r="N66" s="20">
        <v>363</v>
      </c>
      <c r="O66" s="415">
        <v>7198.2899999999991</v>
      </c>
      <c r="P66" s="20">
        <v>11</v>
      </c>
      <c r="Q66" s="20">
        <v>55</v>
      </c>
      <c r="R66" s="415">
        <v>9460</v>
      </c>
      <c r="S66" s="20">
        <v>2</v>
      </c>
      <c r="T66" s="20">
        <v>10</v>
      </c>
      <c r="U66" s="415">
        <v>1720</v>
      </c>
      <c r="V66" s="20"/>
      <c r="W66" s="585"/>
      <c r="X66" s="20"/>
      <c r="Y66" s="585"/>
      <c r="Z66" s="20"/>
      <c r="AA66" s="585"/>
      <c r="AB66" s="20"/>
      <c r="AC66" s="585"/>
      <c r="AD66" s="20"/>
      <c r="AE66" s="585"/>
      <c r="AF66" s="586"/>
      <c r="AG66" s="585"/>
      <c r="AH66" s="586"/>
      <c r="AI66" s="585"/>
      <c r="AJ66" s="20"/>
      <c r="AK66" s="20"/>
      <c r="AL66" s="20"/>
      <c r="AM66" s="20"/>
      <c r="AN66" s="20"/>
      <c r="AO66" s="423">
        <v>24</v>
      </c>
      <c r="AP66" s="415">
        <v>9600</v>
      </c>
      <c r="AQ66" s="415">
        <v>44898.29</v>
      </c>
      <c r="AR66" s="20">
        <v>1</v>
      </c>
      <c r="AS66" s="20">
        <v>0</v>
      </c>
      <c r="AT66" s="415"/>
      <c r="AU66" s="415">
        <v>44898.29</v>
      </c>
      <c r="AV66" s="20" t="s">
        <v>244</v>
      </c>
      <c r="AW66" s="424">
        <v>0</v>
      </c>
      <c r="AX66" s="424">
        <v>44898.29</v>
      </c>
      <c r="AY66" s="294">
        <v>35918.629999999997</v>
      </c>
      <c r="AZ66" s="425" t="s">
        <v>576</v>
      </c>
      <c r="BA66" s="294">
        <v>8979.6600000000035</v>
      </c>
      <c r="BB66" s="426"/>
      <c r="BC66" s="332"/>
      <c r="BD66" s="331"/>
      <c r="BE66" s="332"/>
      <c r="BF66" s="421"/>
      <c r="BG66" s="332"/>
      <c r="BH66" s="428"/>
      <c r="BI66" s="332"/>
      <c r="BJ66" s="431"/>
      <c r="BK66" s="332"/>
      <c r="BL66" s="431"/>
      <c r="BM66" s="332"/>
      <c r="BN66" s="431"/>
      <c r="BO66" s="332"/>
      <c r="BP66" s="431"/>
      <c r="BQ66" s="332"/>
      <c r="BR66" s="431"/>
      <c r="BS66" s="332"/>
      <c r="BT66" s="431"/>
      <c r="BU66" s="332"/>
      <c r="BV66" s="431"/>
      <c r="BW66" s="330">
        <v>35918.629999999997</v>
      </c>
      <c r="BX66" s="429">
        <v>35918.629999999997</v>
      </c>
      <c r="BY66" s="430">
        <v>1</v>
      </c>
      <c r="BZ66" s="430" t="s">
        <v>555</v>
      </c>
      <c r="CA66" s="430">
        <v>8979.6600000000035</v>
      </c>
      <c r="CB66" s="20">
        <v>0</v>
      </c>
      <c r="CC66" s="329"/>
    </row>
    <row r="67" spans="1:81" x14ac:dyDescent="0.25">
      <c r="A67" s="329" t="s">
        <v>73</v>
      </c>
      <c r="B67" s="329" t="s">
        <v>111</v>
      </c>
      <c r="C67" s="329" t="s">
        <v>202</v>
      </c>
      <c r="D67" s="329" t="s">
        <v>862</v>
      </c>
      <c r="E67" s="329" t="s">
        <v>863</v>
      </c>
      <c r="F67" s="419" t="s">
        <v>314</v>
      </c>
      <c r="G67" s="420"/>
      <c r="H67" s="419" t="s">
        <v>315</v>
      </c>
      <c r="I67" s="329"/>
      <c r="J67" s="20">
        <v>69</v>
      </c>
      <c r="K67" s="20">
        <v>9245</v>
      </c>
      <c r="L67" s="415">
        <v>142875</v>
      </c>
      <c r="M67" s="20">
        <v>112</v>
      </c>
      <c r="N67" s="20">
        <v>12845</v>
      </c>
      <c r="O67" s="415">
        <v>261390.14999999997</v>
      </c>
      <c r="P67" s="20">
        <v>15</v>
      </c>
      <c r="Q67" s="20">
        <v>75</v>
      </c>
      <c r="R67" s="415">
        <v>12900</v>
      </c>
      <c r="S67" s="20">
        <v>7</v>
      </c>
      <c r="T67" s="20">
        <v>35</v>
      </c>
      <c r="U67" s="415">
        <v>6020</v>
      </c>
      <c r="V67" s="20"/>
      <c r="W67" s="585"/>
      <c r="X67" s="20"/>
      <c r="Y67" s="585"/>
      <c r="Z67" s="20"/>
      <c r="AA67" s="585"/>
      <c r="AB67" s="20"/>
      <c r="AC67" s="585"/>
      <c r="AD67" s="20"/>
      <c r="AE67" s="585"/>
      <c r="AF67" s="586"/>
      <c r="AG67" s="585"/>
      <c r="AH67" s="586"/>
      <c r="AI67" s="585"/>
      <c r="AJ67" s="20"/>
      <c r="AK67" s="20"/>
      <c r="AL67" s="20"/>
      <c r="AM67" s="20"/>
      <c r="AN67" s="20"/>
      <c r="AO67" s="423">
        <v>203</v>
      </c>
      <c r="AP67" s="415">
        <v>63690</v>
      </c>
      <c r="AQ67" s="415">
        <v>486875.14999999997</v>
      </c>
      <c r="AR67" s="20">
        <v>1</v>
      </c>
      <c r="AS67" s="20">
        <v>0</v>
      </c>
      <c r="AT67" s="415"/>
      <c r="AU67" s="415">
        <v>486875.14999999997</v>
      </c>
      <c r="AV67" s="20" t="s">
        <v>244</v>
      </c>
      <c r="AW67" s="424">
        <v>0</v>
      </c>
      <c r="AX67" s="424">
        <v>486875.14999999997</v>
      </c>
      <c r="AY67" s="294">
        <v>389500.12</v>
      </c>
      <c r="AZ67" s="425" t="s">
        <v>576</v>
      </c>
      <c r="BA67" s="294">
        <v>97375.02999999997</v>
      </c>
      <c r="BB67" s="426"/>
      <c r="BC67" s="332"/>
      <c r="BD67" s="331"/>
      <c r="BE67" s="427"/>
      <c r="BF67" s="331"/>
      <c r="BG67" s="332"/>
      <c r="BH67" s="428"/>
      <c r="BI67" s="332"/>
      <c r="BJ67" s="431"/>
      <c r="BK67" s="332"/>
      <c r="BL67" s="431"/>
      <c r="BM67" s="332"/>
      <c r="BN67" s="431"/>
      <c r="BO67" s="332"/>
      <c r="BP67" s="431"/>
      <c r="BQ67" s="332"/>
      <c r="BR67" s="431"/>
      <c r="BS67" s="332"/>
      <c r="BT67" s="431"/>
      <c r="BU67" s="332"/>
      <c r="BV67" s="431"/>
      <c r="BW67" s="330">
        <v>389500.12</v>
      </c>
      <c r="BX67" s="429">
        <v>389500.12</v>
      </c>
      <c r="BY67" s="430">
        <v>1</v>
      </c>
      <c r="BZ67" s="430" t="s">
        <v>555</v>
      </c>
      <c r="CA67" s="430">
        <v>97375.02999999997</v>
      </c>
      <c r="CB67" s="20">
        <v>0</v>
      </c>
      <c r="CC67" s="329"/>
    </row>
    <row r="68" spans="1:81" x14ac:dyDescent="0.25">
      <c r="A68" s="329" t="s">
        <v>74</v>
      </c>
      <c r="B68" s="329" t="s">
        <v>112</v>
      </c>
      <c r="C68" s="329" t="s">
        <v>203</v>
      </c>
      <c r="D68" s="329" t="s">
        <v>864</v>
      </c>
      <c r="E68" s="329" t="s">
        <v>865</v>
      </c>
      <c r="F68" s="419" t="s">
        <v>316</v>
      </c>
      <c r="G68" s="420"/>
      <c r="H68" s="419"/>
      <c r="I68" s="329"/>
      <c r="J68" s="20">
        <v>116</v>
      </c>
      <c r="K68" s="20">
        <v>15388</v>
      </c>
      <c r="L68" s="415">
        <v>239220</v>
      </c>
      <c r="M68" s="20">
        <v>123</v>
      </c>
      <c r="N68" s="20">
        <v>14075</v>
      </c>
      <c r="O68" s="415">
        <v>286734.44999999995</v>
      </c>
      <c r="P68" s="20">
        <v>6</v>
      </c>
      <c r="Q68" s="20">
        <v>30</v>
      </c>
      <c r="R68" s="415">
        <v>5160</v>
      </c>
      <c r="S68" s="20">
        <v>10</v>
      </c>
      <c r="T68" s="20">
        <v>50</v>
      </c>
      <c r="U68" s="415">
        <v>8600</v>
      </c>
      <c r="V68" s="20"/>
      <c r="W68" s="585"/>
      <c r="X68" s="20"/>
      <c r="Y68" s="585"/>
      <c r="Z68" s="20"/>
      <c r="AA68" s="585"/>
      <c r="AB68" s="20"/>
      <c r="AC68" s="585"/>
      <c r="AD68" s="20"/>
      <c r="AE68" s="585"/>
      <c r="AF68" s="586"/>
      <c r="AG68" s="585"/>
      <c r="AH68" s="586"/>
      <c r="AI68" s="585"/>
      <c r="AJ68" s="20"/>
      <c r="AK68" s="20"/>
      <c r="AL68" s="20"/>
      <c r="AM68" s="20"/>
      <c r="AN68" s="20"/>
      <c r="AO68" s="423">
        <v>255</v>
      </c>
      <c r="AP68" s="415">
        <v>75650</v>
      </c>
      <c r="AQ68" s="415">
        <v>615364.44999999995</v>
      </c>
      <c r="AR68" s="20">
        <v>1</v>
      </c>
      <c r="AS68" s="20">
        <v>0</v>
      </c>
      <c r="AT68" s="415"/>
      <c r="AU68" s="415">
        <v>615364.44999999995</v>
      </c>
      <c r="AV68" s="20" t="s">
        <v>247</v>
      </c>
      <c r="AW68" s="424">
        <v>0</v>
      </c>
      <c r="AX68" s="424">
        <v>615364.44999999995</v>
      </c>
      <c r="AY68" s="294">
        <v>246145.78</v>
      </c>
      <c r="AZ68" s="425" t="s">
        <v>576</v>
      </c>
      <c r="BA68" s="294">
        <v>246145.78</v>
      </c>
      <c r="BB68" s="426"/>
      <c r="BC68" s="294">
        <v>123072.88999999993</v>
      </c>
      <c r="BD68" s="438"/>
      <c r="BE68" s="332"/>
      <c r="BF68" s="421"/>
      <c r="BG68" s="332"/>
      <c r="BH68" s="428"/>
      <c r="BI68" s="332"/>
      <c r="BJ68" s="431"/>
      <c r="BK68" s="332"/>
      <c r="BL68" s="431"/>
      <c r="BM68" s="332"/>
      <c r="BN68" s="431"/>
      <c r="BO68" s="332"/>
      <c r="BP68" s="431"/>
      <c r="BQ68" s="332"/>
      <c r="BR68" s="431"/>
      <c r="BS68" s="332"/>
      <c r="BT68" s="431"/>
      <c r="BU68" s="332"/>
      <c r="BV68" s="431"/>
      <c r="BW68" s="330">
        <v>246145.78</v>
      </c>
      <c r="BX68" s="429">
        <v>246145.78</v>
      </c>
      <c r="BY68" s="430">
        <v>1</v>
      </c>
      <c r="BZ68" s="430" t="s">
        <v>555</v>
      </c>
      <c r="CA68" s="430">
        <v>246145.78</v>
      </c>
      <c r="CB68" s="20">
        <v>0</v>
      </c>
      <c r="CC68" s="329"/>
    </row>
    <row r="69" spans="1:81" x14ac:dyDescent="0.25">
      <c r="A69" s="329" t="s">
        <v>75</v>
      </c>
      <c r="B69" s="329" t="s">
        <v>113</v>
      </c>
      <c r="C69" s="329" t="s">
        <v>204</v>
      </c>
      <c r="D69" s="329" t="s">
        <v>866</v>
      </c>
      <c r="E69" s="329" t="s">
        <v>867</v>
      </c>
      <c r="F69" s="419" t="s">
        <v>317</v>
      </c>
      <c r="G69" s="420"/>
      <c r="H69" s="419"/>
      <c r="I69" s="329"/>
      <c r="J69" s="20">
        <v>10</v>
      </c>
      <c r="K69" s="20">
        <v>1410</v>
      </c>
      <c r="L69" s="415">
        <v>21150</v>
      </c>
      <c r="M69" s="20">
        <v>10</v>
      </c>
      <c r="N69" s="20">
        <v>1210</v>
      </c>
      <c r="O69" s="415">
        <v>23994.3</v>
      </c>
      <c r="P69" s="20">
        <v>3</v>
      </c>
      <c r="Q69" s="20">
        <v>15</v>
      </c>
      <c r="R69" s="415">
        <v>2580</v>
      </c>
      <c r="S69" s="20">
        <v>4</v>
      </c>
      <c r="T69" s="20">
        <v>20</v>
      </c>
      <c r="U69" s="415">
        <v>3440</v>
      </c>
      <c r="V69" s="20"/>
      <c r="W69" s="585"/>
      <c r="X69" s="20"/>
      <c r="Y69" s="585"/>
      <c r="Z69" s="20"/>
      <c r="AA69" s="585"/>
      <c r="AB69" s="20"/>
      <c r="AC69" s="585"/>
      <c r="AD69" s="20"/>
      <c r="AE69" s="585"/>
      <c r="AF69" s="586"/>
      <c r="AG69" s="585"/>
      <c r="AH69" s="586"/>
      <c r="AI69" s="585"/>
      <c r="AJ69" s="20"/>
      <c r="AK69" s="20"/>
      <c r="AL69" s="20"/>
      <c r="AM69" s="20"/>
      <c r="AN69" s="20"/>
      <c r="AO69" s="423">
        <v>27</v>
      </c>
      <c r="AP69" s="415">
        <v>10800</v>
      </c>
      <c r="AQ69" s="415">
        <v>61964.3</v>
      </c>
      <c r="AR69" s="20">
        <v>1</v>
      </c>
      <c r="AS69" s="20">
        <v>0</v>
      </c>
      <c r="AT69" s="415"/>
      <c r="AU69" s="415">
        <v>61964.3</v>
      </c>
      <c r="AV69" s="20" t="s">
        <v>244</v>
      </c>
      <c r="AW69" s="424">
        <v>0</v>
      </c>
      <c r="AX69" s="424">
        <v>61964.3</v>
      </c>
      <c r="AY69" s="294">
        <v>49571.44</v>
      </c>
      <c r="AZ69" s="425" t="s">
        <v>576</v>
      </c>
      <c r="BA69" s="294">
        <v>12392.86</v>
      </c>
      <c r="BB69" s="426"/>
      <c r="BC69" s="332"/>
      <c r="BD69" s="331"/>
      <c r="BE69" s="332"/>
      <c r="BF69" s="421"/>
      <c r="BG69" s="332"/>
      <c r="BH69" s="428"/>
      <c r="BI69" s="332"/>
      <c r="BJ69" s="431"/>
      <c r="BK69" s="332"/>
      <c r="BL69" s="431"/>
      <c r="BM69" s="332"/>
      <c r="BN69" s="431"/>
      <c r="BO69" s="332"/>
      <c r="BP69" s="431"/>
      <c r="BQ69" s="332"/>
      <c r="BR69" s="431"/>
      <c r="BS69" s="332"/>
      <c r="BT69" s="431"/>
      <c r="BU69" s="332"/>
      <c r="BV69" s="431"/>
      <c r="BW69" s="330">
        <v>49571.44</v>
      </c>
      <c r="BX69" s="429">
        <v>49571.44</v>
      </c>
      <c r="BY69" s="430">
        <v>1</v>
      </c>
      <c r="BZ69" s="430" t="s">
        <v>555</v>
      </c>
      <c r="CA69" s="430">
        <v>12392.86</v>
      </c>
      <c r="CB69" s="20">
        <v>0</v>
      </c>
      <c r="CC69" s="329"/>
    </row>
    <row r="70" spans="1:81" x14ac:dyDescent="0.25">
      <c r="A70" s="329" t="s">
        <v>76</v>
      </c>
      <c r="B70" s="329" t="s">
        <v>130</v>
      </c>
      <c r="C70" s="329" t="s">
        <v>205</v>
      </c>
      <c r="D70" s="329" t="s">
        <v>868</v>
      </c>
      <c r="E70" s="329" t="s">
        <v>869</v>
      </c>
      <c r="F70" s="419" t="s">
        <v>318</v>
      </c>
      <c r="G70" s="420"/>
      <c r="H70" s="419"/>
      <c r="I70" s="329"/>
      <c r="J70" s="20">
        <v>7</v>
      </c>
      <c r="K70" s="20">
        <v>987</v>
      </c>
      <c r="L70" s="415">
        <v>14805</v>
      </c>
      <c r="M70" s="20">
        <v>8</v>
      </c>
      <c r="N70" s="20">
        <v>968</v>
      </c>
      <c r="O70" s="415">
        <v>19195.439999999999</v>
      </c>
      <c r="P70" s="20">
        <v>0</v>
      </c>
      <c r="Q70" s="20">
        <v>0</v>
      </c>
      <c r="R70" s="415"/>
      <c r="S70" s="20">
        <v>4</v>
      </c>
      <c r="T70" s="20">
        <v>20</v>
      </c>
      <c r="U70" s="415">
        <v>3440</v>
      </c>
      <c r="V70" s="20"/>
      <c r="W70" s="585"/>
      <c r="X70" s="20"/>
      <c r="Y70" s="585"/>
      <c r="Z70" s="20"/>
      <c r="AA70" s="585"/>
      <c r="AB70" s="20"/>
      <c r="AC70" s="585"/>
      <c r="AD70" s="20"/>
      <c r="AE70" s="585"/>
      <c r="AF70" s="586"/>
      <c r="AG70" s="585"/>
      <c r="AH70" s="586"/>
      <c r="AI70" s="585"/>
      <c r="AJ70" s="20"/>
      <c r="AK70" s="20"/>
      <c r="AL70" s="20"/>
      <c r="AM70" s="20"/>
      <c r="AN70" s="20"/>
      <c r="AO70" s="423">
        <v>19</v>
      </c>
      <c r="AP70" s="415">
        <v>7600</v>
      </c>
      <c r="AQ70" s="415">
        <v>45040.44</v>
      </c>
      <c r="AR70" s="20">
        <v>1</v>
      </c>
      <c r="AS70" s="20">
        <v>0</v>
      </c>
      <c r="AT70" s="415"/>
      <c r="AU70" s="415">
        <v>45040.44</v>
      </c>
      <c r="AV70" s="20" t="s">
        <v>244</v>
      </c>
      <c r="AW70" s="424">
        <v>0</v>
      </c>
      <c r="AX70" s="424">
        <v>45040.44</v>
      </c>
      <c r="AY70" s="294">
        <v>36032.35</v>
      </c>
      <c r="AZ70" s="425" t="s">
        <v>576</v>
      </c>
      <c r="BA70" s="294">
        <v>9008.0900000000038</v>
      </c>
      <c r="BB70" s="426"/>
      <c r="BC70" s="332"/>
      <c r="BD70" s="331"/>
      <c r="BE70" s="332"/>
      <c r="BF70" s="421"/>
      <c r="BG70" s="332"/>
      <c r="BH70" s="428"/>
      <c r="BI70" s="332"/>
      <c r="BJ70" s="431"/>
      <c r="BK70" s="332"/>
      <c r="BL70" s="431"/>
      <c r="BM70" s="332"/>
      <c r="BN70" s="431"/>
      <c r="BO70" s="332"/>
      <c r="BP70" s="431"/>
      <c r="BQ70" s="332"/>
      <c r="BR70" s="431"/>
      <c r="BS70" s="332"/>
      <c r="BT70" s="431"/>
      <c r="BU70" s="332"/>
      <c r="BV70" s="431"/>
      <c r="BW70" s="330">
        <v>36032.35</v>
      </c>
      <c r="BX70" s="429">
        <v>36032.35</v>
      </c>
      <c r="BY70" s="430">
        <v>1</v>
      </c>
      <c r="BZ70" s="430" t="s">
        <v>555</v>
      </c>
      <c r="CA70" s="430">
        <v>9008.0900000000038</v>
      </c>
      <c r="CB70" s="20">
        <v>0</v>
      </c>
      <c r="CC70" s="329"/>
    </row>
    <row r="71" spans="1:81" x14ac:dyDescent="0.25">
      <c r="A71" s="329" t="s">
        <v>77</v>
      </c>
      <c r="B71" s="329" t="s">
        <v>13</v>
      </c>
      <c r="C71" s="329" t="s">
        <v>206</v>
      </c>
      <c r="D71" s="329" t="s">
        <v>870</v>
      </c>
      <c r="E71" s="329" t="s">
        <v>871</v>
      </c>
      <c r="F71" s="419" t="s">
        <v>319</v>
      </c>
      <c r="G71" s="420"/>
      <c r="H71" s="419"/>
      <c r="I71" s="329"/>
      <c r="J71" s="20">
        <v>0</v>
      </c>
      <c r="K71" s="20">
        <v>0</v>
      </c>
      <c r="L71" s="415"/>
      <c r="M71" s="20">
        <v>8</v>
      </c>
      <c r="N71" s="20">
        <v>968</v>
      </c>
      <c r="O71" s="415">
        <v>19195.439999999999</v>
      </c>
      <c r="P71" s="20">
        <v>0</v>
      </c>
      <c r="Q71" s="20">
        <v>0</v>
      </c>
      <c r="R71" s="415"/>
      <c r="S71" s="20">
        <v>3</v>
      </c>
      <c r="T71" s="20">
        <v>15</v>
      </c>
      <c r="U71" s="415">
        <v>2580</v>
      </c>
      <c r="V71" s="20"/>
      <c r="W71" s="585"/>
      <c r="X71" s="20"/>
      <c r="Y71" s="585"/>
      <c r="Z71" s="20"/>
      <c r="AA71" s="585"/>
      <c r="AB71" s="20"/>
      <c r="AC71" s="585"/>
      <c r="AD71" s="20"/>
      <c r="AE71" s="585"/>
      <c r="AF71" s="586"/>
      <c r="AG71" s="585"/>
      <c r="AH71" s="586"/>
      <c r="AI71" s="585"/>
      <c r="AJ71" s="20"/>
      <c r="AK71" s="20"/>
      <c r="AL71" s="20"/>
      <c r="AM71" s="20"/>
      <c r="AN71" s="20"/>
      <c r="AO71" s="423">
        <v>11</v>
      </c>
      <c r="AP71" s="415">
        <v>4400</v>
      </c>
      <c r="AQ71" s="415">
        <v>26175.439999999999</v>
      </c>
      <c r="AR71" s="20">
        <v>1</v>
      </c>
      <c r="AS71" s="20">
        <v>0</v>
      </c>
      <c r="AT71" s="415"/>
      <c r="AU71" s="415">
        <v>26175.439999999999</v>
      </c>
      <c r="AV71" s="20" t="s">
        <v>244</v>
      </c>
      <c r="AW71" s="424">
        <v>0</v>
      </c>
      <c r="AX71" s="424">
        <v>26175.439999999999</v>
      </c>
      <c r="AY71" s="294">
        <v>20940.349999999999</v>
      </c>
      <c r="AZ71" s="425" t="s">
        <v>576</v>
      </c>
      <c r="BA71" s="294">
        <v>5235.09</v>
      </c>
      <c r="BB71" s="426"/>
      <c r="BC71" s="332"/>
      <c r="BD71" s="331"/>
      <c r="BE71" s="332"/>
      <c r="BF71" s="421"/>
      <c r="BG71" s="332"/>
      <c r="BH71" s="428"/>
      <c r="BI71" s="332"/>
      <c r="BJ71" s="431"/>
      <c r="BK71" s="332"/>
      <c r="BL71" s="431"/>
      <c r="BM71" s="332"/>
      <c r="BN71" s="431"/>
      <c r="BO71" s="332"/>
      <c r="BP71" s="431"/>
      <c r="BQ71" s="332"/>
      <c r="BR71" s="431"/>
      <c r="BS71" s="332"/>
      <c r="BT71" s="431"/>
      <c r="BU71" s="332"/>
      <c r="BV71" s="431"/>
      <c r="BW71" s="330">
        <v>20940.349999999999</v>
      </c>
      <c r="BX71" s="429">
        <v>20940.349999999999</v>
      </c>
      <c r="BY71" s="430">
        <v>1</v>
      </c>
      <c r="BZ71" s="430" t="s">
        <v>555</v>
      </c>
      <c r="CA71" s="430">
        <v>5235.09</v>
      </c>
      <c r="CB71" s="20">
        <v>0</v>
      </c>
      <c r="CC71" s="329"/>
    </row>
    <row r="72" spans="1:81" x14ac:dyDescent="0.25">
      <c r="A72" s="329" t="s">
        <v>255</v>
      </c>
      <c r="B72" s="329" t="s">
        <v>256</v>
      </c>
      <c r="C72" s="329" t="s">
        <v>262</v>
      </c>
      <c r="D72" s="329" t="s">
        <v>872</v>
      </c>
      <c r="E72" s="329" t="s">
        <v>873</v>
      </c>
      <c r="F72" s="419" t="s">
        <v>668</v>
      </c>
      <c r="G72" s="420"/>
      <c r="H72" s="419"/>
      <c r="I72" s="329"/>
      <c r="J72" s="20">
        <v>4</v>
      </c>
      <c r="K72" s="20">
        <v>564</v>
      </c>
      <c r="L72" s="415">
        <v>8460</v>
      </c>
      <c r="M72" s="20">
        <v>0</v>
      </c>
      <c r="N72" s="20">
        <v>0</v>
      </c>
      <c r="O72" s="415"/>
      <c r="P72" s="20">
        <v>4</v>
      </c>
      <c r="Q72" s="20">
        <v>20</v>
      </c>
      <c r="R72" s="415">
        <v>3440</v>
      </c>
      <c r="S72" s="20">
        <v>0</v>
      </c>
      <c r="T72" s="20">
        <v>0</v>
      </c>
      <c r="U72" s="415"/>
      <c r="V72" s="20"/>
      <c r="W72" s="585"/>
      <c r="X72" s="20"/>
      <c r="Y72" s="585"/>
      <c r="Z72" s="20"/>
      <c r="AA72" s="585"/>
      <c r="AB72" s="20"/>
      <c r="AC72" s="585"/>
      <c r="AD72" s="20"/>
      <c r="AE72" s="585"/>
      <c r="AF72" s="586"/>
      <c r="AG72" s="585"/>
      <c r="AH72" s="586"/>
      <c r="AI72" s="585"/>
      <c r="AJ72" s="20"/>
      <c r="AK72" s="20"/>
      <c r="AL72" s="20"/>
      <c r="AM72" s="20"/>
      <c r="AN72" s="20"/>
      <c r="AO72" s="423">
        <v>8</v>
      </c>
      <c r="AP72" s="415">
        <v>3200</v>
      </c>
      <c r="AQ72" s="415">
        <v>15100</v>
      </c>
      <c r="AR72" s="20">
        <v>1</v>
      </c>
      <c r="AS72" s="20">
        <v>0</v>
      </c>
      <c r="AT72" s="415"/>
      <c r="AU72" s="415">
        <v>15100</v>
      </c>
      <c r="AV72" s="20" t="s">
        <v>244</v>
      </c>
      <c r="AW72" s="424">
        <v>0</v>
      </c>
      <c r="AX72" s="424">
        <v>15100</v>
      </c>
      <c r="AY72" s="294">
        <v>12080</v>
      </c>
      <c r="AZ72" s="425" t="s">
        <v>576</v>
      </c>
      <c r="BA72" s="294">
        <v>3020</v>
      </c>
      <c r="BB72" s="426"/>
      <c r="BC72" s="332"/>
      <c r="BD72" s="331"/>
      <c r="BE72" s="332"/>
      <c r="BF72" s="421"/>
      <c r="BG72" s="332"/>
      <c r="BH72" s="428"/>
      <c r="BI72" s="332"/>
      <c r="BJ72" s="431"/>
      <c r="BK72" s="332"/>
      <c r="BL72" s="431"/>
      <c r="BM72" s="332"/>
      <c r="BN72" s="431"/>
      <c r="BO72" s="332"/>
      <c r="BP72" s="431"/>
      <c r="BQ72" s="332"/>
      <c r="BR72" s="431"/>
      <c r="BS72" s="332"/>
      <c r="BT72" s="431"/>
      <c r="BU72" s="332"/>
      <c r="BV72" s="431"/>
      <c r="BW72" s="330">
        <v>12080</v>
      </c>
      <c r="BX72" s="429">
        <v>12080</v>
      </c>
      <c r="BY72" s="430">
        <v>1</v>
      </c>
      <c r="BZ72" s="430" t="s">
        <v>555</v>
      </c>
      <c r="CA72" s="430">
        <v>3020</v>
      </c>
      <c r="CB72" s="20">
        <v>0</v>
      </c>
      <c r="CC72" s="329"/>
    </row>
    <row r="73" spans="1:81" x14ac:dyDescent="0.25">
      <c r="A73" s="329" t="s">
        <v>122</v>
      </c>
      <c r="B73" s="329" t="s">
        <v>257</v>
      </c>
      <c r="C73" s="329" t="s">
        <v>207</v>
      </c>
      <c r="D73" s="329" t="s">
        <v>874</v>
      </c>
      <c r="E73" s="329" t="s">
        <v>875</v>
      </c>
      <c r="F73" s="419" t="s">
        <v>320</v>
      </c>
      <c r="G73" s="420"/>
      <c r="H73" s="419"/>
      <c r="I73" s="329"/>
      <c r="J73" s="20">
        <v>8</v>
      </c>
      <c r="K73" s="20">
        <v>1128</v>
      </c>
      <c r="L73" s="415">
        <v>16920</v>
      </c>
      <c r="M73" s="20">
        <v>2</v>
      </c>
      <c r="N73" s="20">
        <v>242</v>
      </c>
      <c r="O73" s="415">
        <v>4798.8599999999997</v>
      </c>
      <c r="P73" s="20">
        <v>3</v>
      </c>
      <c r="Q73" s="20">
        <v>15</v>
      </c>
      <c r="R73" s="415">
        <v>2580</v>
      </c>
      <c r="S73" s="20">
        <v>3</v>
      </c>
      <c r="T73" s="20">
        <v>15</v>
      </c>
      <c r="U73" s="415">
        <v>2580</v>
      </c>
      <c r="V73" s="20"/>
      <c r="W73" s="585"/>
      <c r="X73" s="20"/>
      <c r="Y73" s="585"/>
      <c r="Z73" s="20"/>
      <c r="AA73" s="585"/>
      <c r="AB73" s="20"/>
      <c r="AC73" s="585"/>
      <c r="AD73" s="20"/>
      <c r="AE73" s="585"/>
      <c r="AF73" s="586">
        <v>1</v>
      </c>
      <c r="AG73" s="585">
        <v>8000</v>
      </c>
      <c r="AH73" s="586">
        <v>20</v>
      </c>
      <c r="AI73" s="585">
        <v>8000</v>
      </c>
      <c r="AJ73" s="20"/>
      <c r="AK73" s="20"/>
      <c r="AL73" s="20"/>
      <c r="AM73" s="20"/>
      <c r="AN73" s="20"/>
      <c r="AO73" s="423">
        <v>16</v>
      </c>
      <c r="AP73" s="415">
        <v>6400</v>
      </c>
      <c r="AQ73" s="415">
        <v>41278.86</v>
      </c>
      <c r="AR73" s="20">
        <v>1</v>
      </c>
      <c r="AS73" s="20">
        <v>0</v>
      </c>
      <c r="AT73" s="415"/>
      <c r="AU73" s="415">
        <v>41278.86</v>
      </c>
      <c r="AV73" s="20" t="s">
        <v>244</v>
      </c>
      <c r="AW73" s="424">
        <v>0</v>
      </c>
      <c r="AX73" s="424">
        <v>41278.86</v>
      </c>
      <c r="AY73" s="294">
        <v>33023.089999999997</v>
      </c>
      <c r="AZ73" s="425" t="s">
        <v>576</v>
      </c>
      <c r="BA73" s="294">
        <v>8255.7700000000041</v>
      </c>
      <c r="BB73" s="426"/>
      <c r="BC73" s="427"/>
      <c r="BD73" s="331"/>
      <c r="BE73" s="332"/>
      <c r="BF73" s="421"/>
      <c r="BG73" s="332"/>
      <c r="BH73" s="428"/>
      <c r="BI73" s="332"/>
      <c r="BJ73" s="431"/>
      <c r="BK73" s="332"/>
      <c r="BL73" s="431"/>
      <c r="BM73" s="332"/>
      <c r="BN73" s="431"/>
      <c r="BO73" s="332"/>
      <c r="BP73" s="431"/>
      <c r="BQ73" s="332"/>
      <c r="BR73" s="431"/>
      <c r="BS73" s="332"/>
      <c r="BT73" s="431"/>
      <c r="BU73" s="332"/>
      <c r="BV73" s="431"/>
      <c r="BW73" s="330">
        <v>33023.089999999997</v>
      </c>
      <c r="BX73" s="429">
        <v>33023.089999999997</v>
      </c>
      <c r="BY73" s="430">
        <v>1</v>
      </c>
      <c r="BZ73" s="430" t="s">
        <v>555</v>
      </c>
      <c r="CA73" s="430">
        <v>8255.7700000000041</v>
      </c>
      <c r="CB73" s="20">
        <v>0</v>
      </c>
      <c r="CC73" s="329"/>
    </row>
    <row r="74" spans="1:81" x14ac:dyDescent="0.25">
      <c r="A74" s="329" t="s">
        <v>134</v>
      </c>
      <c r="B74" s="329" t="s">
        <v>213</v>
      </c>
      <c r="C74" s="329" t="s">
        <v>208</v>
      </c>
      <c r="D74" s="329" t="s">
        <v>876</v>
      </c>
      <c r="E74" s="329" t="s">
        <v>877</v>
      </c>
      <c r="F74" s="419" t="s">
        <v>321</v>
      </c>
      <c r="G74" s="420"/>
      <c r="H74" s="419"/>
      <c r="I74" s="329"/>
      <c r="J74" s="20">
        <v>1</v>
      </c>
      <c r="K74" s="20">
        <v>141</v>
      </c>
      <c r="L74" s="415">
        <v>2115</v>
      </c>
      <c r="M74" s="20">
        <v>1</v>
      </c>
      <c r="N74" s="20">
        <v>121</v>
      </c>
      <c r="O74" s="415">
        <v>2399.4299999999998</v>
      </c>
      <c r="P74" s="20">
        <v>1</v>
      </c>
      <c r="Q74" s="20">
        <v>5</v>
      </c>
      <c r="R74" s="415">
        <v>860</v>
      </c>
      <c r="S74" s="20">
        <v>1</v>
      </c>
      <c r="T74" s="20">
        <v>5</v>
      </c>
      <c r="U74" s="415">
        <v>860</v>
      </c>
      <c r="V74" s="20"/>
      <c r="W74" s="585"/>
      <c r="X74" s="20"/>
      <c r="Y74" s="585"/>
      <c r="Z74" s="20"/>
      <c r="AA74" s="585"/>
      <c r="AB74" s="20"/>
      <c r="AC74" s="585"/>
      <c r="AD74" s="20"/>
      <c r="AE74" s="585"/>
      <c r="AF74" s="586"/>
      <c r="AG74" s="585"/>
      <c r="AH74" s="586"/>
      <c r="AI74" s="585"/>
      <c r="AJ74" s="20"/>
      <c r="AK74" s="20"/>
      <c r="AL74" s="20"/>
      <c r="AM74" s="20"/>
      <c r="AN74" s="20"/>
      <c r="AO74" s="423">
        <v>4</v>
      </c>
      <c r="AP74" s="415">
        <v>1600</v>
      </c>
      <c r="AQ74" s="415">
        <v>7834.43</v>
      </c>
      <c r="AR74" s="20">
        <v>1</v>
      </c>
      <c r="AS74" s="20">
        <v>0</v>
      </c>
      <c r="AT74" s="415"/>
      <c r="AU74" s="415">
        <v>7834.43</v>
      </c>
      <c r="AV74" s="20" t="s">
        <v>244</v>
      </c>
      <c r="AW74" s="424">
        <v>0</v>
      </c>
      <c r="AX74" s="424">
        <v>7834.43</v>
      </c>
      <c r="AY74" s="294">
        <v>6267.54</v>
      </c>
      <c r="AZ74" s="425" t="s">
        <v>576</v>
      </c>
      <c r="BA74" s="294">
        <v>1566.8900000000003</v>
      </c>
      <c r="BB74" s="426"/>
      <c r="BC74" s="332"/>
      <c r="BD74" s="331"/>
      <c r="BE74" s="332"/>
      <c r="BF74" s="421"/>
      <c r="BG74" s="332"/>
      <c r="BH74" s="428"/>
      <c r="BI74" s="332"/>
      <c r="BJ74" s="431"/>
      <c r="BK74" s="332"/>
      <c r="BL74" s="431"/>
      <c r="BM74" s="332"/>
      <c r="BN74" s="431"/>
      <c r="BO74" s="332"/>
      <c r="BP74" s="431"/>
      <c r="BQ74" s="332"/>
      <c r="BR74" s="431"/>
      <c r="BS74" s="332"/>
      <c r="BT74" s="431"/>
      <c r="BU74" s="332"/>
      <c r="BV74" s="431"/>
      <c r="BW74" s="330">
        <v>6267.54</v>
      </c>
      <c r="BX74" s="429">
        <v>6267.54</v>
      </c>
      <c r="BY74" s="430">
        <v>1</v>
      </c>
      <c r="BZ74" s="430" t="s">
        <v>555</v>
      </c>
      <c r="CA74" s="430">
        <v>1566.8900000000003</v>
      </c>
      <c r="CB74" s="20">
        <v>0</v>
      </c>
      <c r="CC74" s="329"/>
    </row>
    <row r="75" spans="1:81" x14ac:dyDescent="0.25">
      <c r="A75" s="329" t="s">
        <v>135</v>
      </c>
      <c r="B75" s="329" t="s">
        <v>138</v>
      </c>
      <c r="C75" s="329" t="s">
        <v>774</v>
      </c>
      <c r="D75" s="329" t="s">
        <v>775</v>
      </c>
      <c r="E75" s="329"/>
      <c r="F75" s="329"/>
      <c r="G75" s="418"/>
      <c r="H75" s="329"/>
      <c r="I75" s="329"/>
      <c r="J75" s="20">
        <v>0</v>
      </c>
      <c r="K75" s="20">
        <v>0</v>
      </c>
      <c r="L75" s="415"/>
      <c r="M75" s="20">
        <v>0</v>
      </c>
      <c r="N75" s="20">
        <v>0</v>
      </c>
      <c r="O75" s="415"/>
      <c r="P75" s="20">
        <v>0</v>
      </c>
      <c r="Q75" s="20">
        <v>0</v>
      </c>
      <c r="R75" s="415"/>
      <c r="S75" s="20">
        <v>0</v>
      </c>
      <c r="T75" s="20">
        <v>0</v>
      </c>
      <c r="U75" s="415"/>
      <c r="V75" s="20"/>
      <c r="W75" s="585"/>
      <c r="X75" s="20"/>
      <c r="Y75" s="585"/>
      <c r="Z75" s="20"/>
      <c r="AA75" s="585"/>
      <c r="AB75" s="20"/>
      <c r="AC75" s="585"/>
      <c r="AD75" s="20"/>
      <c r="AE75" s="585"/>
      <c r="AF75" s="586"/>
      <c r="AG75" s="585"/>
      <c r="AH75" s="586"/>
      <c r="AI75" s="585"/>
      <c r="AJ75" s="20"/>
      <c r="AK75" s="20"/>
      <c r="AL75" s="20"/>
      <c r="AM75" s="20"/>
      <c r="AN75" s="20"/>
      <c r="AO75" s="423">
        <v>0</v>
      </c>
      <c r="AP75" s="415"/>
      <c r="AQ75" s="415"/>
      <c r="AR75" s="20">
        <v>1</v>
      </c>
      <c r="AS75" s="20">
        <v>0</v>
      </c>
      <c r="AT75" s="415"/>
      <c r="AU75" s="415"/>
      <c r="AV75" s="20" t="s">
        <v>774</v>
      </c>
      <c r="AW75" s="424" t="e">
        <v>#VALUE!</v>
      </c>
      <c r="AX75" s="424" t="e">
        <v>#VALUE!</v>
      </c>
      <c r="AY75" s="294" t="s">
        <v>774</v>
      </c>
      <c r="AZ75" s="425"/>
      <c r="BA75" s="294" t="e">
        <v>#VALUE!</v>
      </c>
      <c r="BB75" s="426"/>
      <c r="BC75" s="332"/>
      <c r="BD75" s="331"/>
      <c r="BE75" s="332"/>
      <c r="BF75" s="421"/>
      <c r="BG75" s="332"/>
      <c r="BH75" s="428"/>
      <c r="BI75" s="332"/>
      <c r="BJ75" s="431"/>
      <c r="BK75" s="332"/>
      <c r="BL75" s="431"/>
      <c r="BM75" s="332"/>
      <c r="BN75" s="431"/>
      <c r="BO75" s="332"/>
      <c r="BP75" s="431"/>
      <c r="BQ75" s="332"/>
      <c r="BR75" s="431"/>
      <c r="BS75" s="332"/>
      <c r="BT75" s="431"/>
      <c r="BU75" s="332"/>
      <c r="BV75" s="431"/>
      <c r="BW75" s="330" t="e">
        <v>#VALUE!</v>
      </c>
      <c r="BX75" s="429" t="e">
        <v>#VALUE!</v>
      </c>
      <c r="BY75" s="430">
        <v>0</v>
      </c>
      <c r="BZ75" s="430" t="s">
        <v>553</v>
      </c>
      <c r="CA75" s="430" t="s">
        <v>774</v>
      </c>
      <c r="CB75" s="20">
        <v>0</v>
      </c>
      <c r="CC75" s="329"/>
    </row>
    <row r="76" spans="1:81" x14ac:dyDescent="0.25">
      <c r="A76" s="329" t="s">
        <v>878</v>
      </c>
      <c r="B76" s="329" t="s">
        <v>1050</v>
      </c>
      <c r="C76" s="329" t="s">
        <v>879</v>
      </c>
      <c r="D76" s="329" t="s">
        <v>880</v>
      </c>
      <c r="E76" s="329" t="s">
        <v>881</v>
      </c>
      <c r="F76" s="419" t="s">
        <v>322</v>
      </c>
      <c r="G76" s="420"/>
      <c r="H76" s="419" t="s">
        <v>902</v>
      </c>
      <c r="I76" s="329"/>
      <c r="J76" s="20">
        <v>4</v>
      </c>
      <c r="K76" s="20">
        <v>564</v>
      </c>
      <c r="L76" s="415">
        <v>8460</v>
      </c>
      <c r="M76" s="20">
        <v>0</v>
      </c>
      <c r="N76" s="20">
        <v>0</v>
      </c>
      <c r="O76" s="415"/>
      <c r="P76" s="20">
        <v>3</v>
      </c>
      <c r="Q76" s="20">
        <v>15</v>
      </c>
      <c r="R76" s="415">
        <v>2580</v>
      </c>
      <c r="S76" s="20">
        <v>1</v>
      </c>
      <c r="T76" s="20">
        <v>5</v>
      </c>
      <c r="U76" s="415">
        <v>860</v>
      </c>
      <c r="V76" s="20"/>
      <c r="W76" s="585"/>
      <c r="X76" s="20"/>
      <c r="Y76" s="585"/>
      <c r="Z76" s="20"/>
      <c r="AA76" s="585"/>
      <c r="AB76" s="20"/>
      <c r="AC76" s="585"/>
      <c r="AD76" s="20"/>
      <c r="AE76" s="585"/>
      <c r="AF76" s="586"/>
      <c r="AG76" s="585"/>
      <c r="AH76" s="586"/>
      <c r="AI76" s="585"/>
      <c r="AJ76" s="20"/>
      <c r="AK76" s="20"/>
      <c r="AL76" s="20"/>
      <c r="AM76" s="20"/>
      <c r="AN76" s="20"/>
      <c r="AO76" s="423">
        <v>8</v>
      </c>
      <c r="AP76" s="415">
        <v>3200</v>
      </c>
      <c r="AQ76" s="415">
        <v>15100</v>
      </c>
      <c r="AR76" s="20">
        <v>1</v>
      </c>
      <c r="AS76" s="20">
        <v>0</v>
      </c>
      <c r="AT76" s="415"/>
      <c r="AU76" s="415">
        <v>15100</v>
      </c>
      <c r="AV76" s="20" t="s">
        <v>244</v>
      </c>
      <c r="AW76" s="424">
        <v>0</v>
      </c>
      <c r="AX76" s="424">
        <v>15100</v>
      </c>
      <c r="AY76" s="294">
        <v>12080</v>
      </c>
      <c r="AZ76" s="425" t="s">
        <v>576</v>
      </c>
      <c r="BA76" s="294">
        <v>3020</v>
      </c>
      <c r="BB76" s="426"/>
      <c r="BC76" s="332"/>
      <c r="BD76" s="331"/>
      <c r="BE76" s="332"/>
      <c r="BF76" s="421"/>
      <c r="BG76" s="332"/>
      <c r="BH76" s="428"/>
      <c r="BI76" s="332"/>
      <c r="BJ76" s="431"/>
      <c r="BK76" s="332"/>
      <c r="BL76" s="431"/>
      <c r="BM76" s="332"/>
      <c r="BN76" s="431"/>
      <c r="BO76" s="332"/>
      <c r="BP76" s="431"/>
      <c r="BQ76" s="332"/>
      <c r="BR76" s="431"/>
      <c r="BS76" s="332"/>
      <c r="BT76" s="431"/>
      <c r="BU76" s="332"/>
      <c r="BV76" s="431"/>
      <c r="BW76" s="330">
        <v>12080</v>
      </c>
      <c r="BX76" s="429">
        <v>12080</v>
      </c>
      <c r="BY76" s="430">
        <v>1</v>
      </c>
      <c r="BZ76" s="430" t="s">
        <v>555</v>
      </c>
      <c r="CA76" s="430">
        <v>3020</v>
      </c>
      <c r="CB76" s="20">
        <v>0</v>
      </c>
      <c r="CC76" s="329"/>
    </row>
    <row r="77" spans="1:81" x14ac:dyDescent="0.25">
      <c r="A77" s="329" t="s">
        <v>258</v>
      </c>
      <c r="B77" s="329" t="s">
        <v>259</v>
      </c>
      <c r="C77" s="329" t="s">
        <v>263</v>
      </c>
      <c r="D77" s="329" t="s">
        <v>882</v>
      </c>
      <c r="E77" s="329" t="s">
        <v>883</v>
      </c>
      <c r="F77" s="419" t="s">
        <v>900</v>
      </c>
      <c r="G77" s="420"/>
      <c r="H77" s="419"/>
      <c r="I77" s="329"/>
      <c r="J77" s="20">
        <v>40</v>
      </c>
      <c r="K77" s="20">
        <v>5398</v>
      </c>
      <c r="L77" s="415">
        <v>83070</v>
      </c>
      <c r="M77" s="20">
        <v>40</v>
      </c>
      <c r="N77" s="20">
        <v>4638</v>
      </c>
      <c r="O77" s="415">
        <v>93878.34</v>
      </c>
      <c r="P77" s="20">
        <v>8</v>
      </c>
      <c r="Q77" s="20">
        <v>40</v>
      </c>
      <c r="R77" s="415">
        <v>6880</v>
      </c>
      <c r="S77" s="20">
        <v>8</v>
      </c>
      <c r="T77" s="20">
        <v>40</v>
      </c>
      <c r="U77" s="415">
        <v>6880</v>
      </c>
      <c r="V77" s="20"/>
      <c r="W77" s="585"/>
      <c r="X77" s="20"/>
      <c r="Y77" s="585"/>
      <c r="Z77" s="20"/>
      <c r="AA77" s="585"/>
      <c r="AB77" s="20"/>
      <c r="AC77" s="585"/>
      <c r="AD77" s="20"/>
      <c r="AE77" s="585"/>
      <c r="AF77" s="586"/>
      <c r="AG77" s="585"/>
      <c r="AH77" s="586"/>
      <c r="AI77" s="585"/>
      <c r="AJ77" s="20"/>
      <c r="AK77" s="20"/>
      <c r="AL77" s="20"/>
      <c r="AM77" s="20"/>
      <c r="AN77" s="20"/>
      <c r="AO77" s="423">
        <v>96</v>
      </c>
      <c r="AP77" s="415">
        <v>38400</v>
      </c>
      <c r="AQ77" s="415">
        <v>229108.34</v>
      </c>
      <c r="AR77" s="20">
        <v>1</v>
      </c>
      <c r="AS77" s="20">
        <v>0</v>
      </c>
      <c r="AT77" s="415"/>
      <c r="AU77" s="415">
        <v>229108.34</v>
      </c>
      <c r="AV77" s="20" t="s">
        <v>247</v>
      </c>
      <c r="AW77" s="424">
        <v>0</v>
      </c>
      <c r="AX77" s="424">
        <v>229108.34</v>
      </c>
      <c r="AY77" s="294">
        <v>91643.34</v>
      </c>
      <c r="AZ77" s="425" t="s">
        <v>576</v>
      </c>
      <c r="BA77" s="294">
        <v>91643.34</v>
      </c>
      <c r="BB77" s="426"/>
      <c r="BC77" s="294">
        <v>45821.66</v>
      </c>
      <c r="BD77" s="426"/>
      <c r="BE77" s="332"/>
      <c r="BF77" s="421"/>
      <c r="BG77" s="332"/>
      <c r="BH77" s="428"/>
      <c r="BI77" s="332"/>
      <c r="BJ77" s="431"/>
      <c r="BK77" s="332"/>
      <c r="BL77" s="431"/>
      <c r="BM77" s="332"/>
      <c r="BN77" s="431"/>
      <c r="BO77" s="332"/>
      <c r="BP77" s="431"/>
      <c r="BQ77" s="332"/>
      <c r="BR77" s="431"/>
      <c r="BS77" s="332"/>
      <c r="BT77" s="431"/>
      <c r="BU77" s="332"/>
      <c r="BV77" s="431"/>
      <c r="BW77" s="330">
        <v>91643.34</v>
      </c>
      <c r="BX77" s="429">
        <v>91643.34</v>
      </c>
      <c r="BY77" s="430">
        <v>1</v>
      </c>
      <c r="BZ77" s="430" t="s">
        <v>555</v>
      </c>
      <c r="CA77" s="430">
        <v>91643.34</v>
      </c>
      <c r="CB77" s="20">
        <v>0</v>
      </c>
      <c r="CC77" s="329"/>
    </row>
    <row r="78" spans="1:81" x14ac:dyDescent="0.25">
      <c r="A78" s="329" t="s">
        <v>78</v>
      </c>
      <c r="B78" s="329" t="s">
        <v>131</v>
      </c>
      <c r="C78" s="329" t="s">
        <v>209</v>
      </c>
      <c r="D78" s="329" t="s">
        <v>884</v>
      </c>
      <c r="E78" s="329" t="s">
        <v>885</v>
      </c>
      <c r="F78" s="419" t="s">
        <v>943</v>
      </c>
      <c r="G78" s="420"/>
      <c r="H78" s="419" t="s">
        <v>323</v>
      </c>
      <c r="I78" s="329"/>
      <c r="J78" s="20">
        <v>72</v>
      </c>
      <c r="K78" s="20">
        <v>9547</v>
      </c>
      <c r="L78" s="415">
        <v>148455</v>
      </c>
      <c r="M78" s="20">
        <v>48</v>
      </c>
      <c r="N78" s="20">
        <v>5505</v>
      </c>
      <c r="O78" s="415">
        <v>112024.34999999999</v>
      </c>
      <c r="P78" s="20">
        <v>8</v>
      </c>
      <c r="Q78" s="20">
        <v>40</v>
      </c>
      <c r="R78" s="415">
        <v>6880</v>
      </c>
      <c r="S78" s="20">
        <v>4</v>
      </c>
      <c r="T78" s="20">
        <v>20</v>
      </c>
      <c r="U78" s="415">
        <v>3440</v>
      </c>
      <c r="V78" s="20"/>
      <c r="W78" s="585"/>
      <c r="X78" s="20"/>
      <c r="Y78" s="585"/>
      <c r="Z78" s="20"/>
      <c r="AA78" s="585"/>
      <c r="AB78" s="20"/>
      <c r="AC78" s="585"/>
      <c r="AD78" s="20"/>
      <c r="AE78" s="585"/>
      <c r="AF78" s="586"/>
      <c r="AG78" s="585"/>
      <c r="AH78" s="586"/>
      <c r="AI78" s="585"/>
      <c r="AJ78" s="20"/>
      <c r="AK78" s="20"/>
      <c r="AL78" s="20"/>
      <c r="AM78" s="20"/>
      <c r="AN78" s="20"/>
      <c r="AO78" s="423">
        <v>132</v>
      </c>
      <c r="AP78" s="415">
        <v>47360</v>
      </c>
      <c r="AQ78" s="415">
        <v>318159.34999999998</v>
      </c>
      <c r="AR78" s="20">
        <v>1</v>
      </c>
      <c r="AS78" s="20">
        <v>0</v>
      </c>
      <c r="AT78" s="415"/>
      <c r="AU78" s="415">
        <v>318159.34999999998</v>
      </c>
      <c r="AV78" s="20" t="s">
        <v>244</v>
      </c>
      <c r="AW78" s="424">
        <v>0</v>
      </c>
      <c r="AX78" s="424">
        <v>318159.34999999998</v>
      </c>
      <c r="AY78" s="294">
        <v>254527.48</v>
      </c>
      <c r="AZ78" s="425" t="s">
        <v>576</v>
      </c>
      <c r="BA78" s="294">
        <v>63631.869999999966</v>
      </c>
      <c r="BB78" s="426"/>
      <c r="BC78" s="332"/>
      <c r="BD78" s="331"/>
      <c r="BE78" s="332"/>
      <c r="BF78" s="421"/>
      <c r="BG78" s="332"/>
      <c r="BH78" s="428"/>
      <c r="BI78" s="332"/>
      <c r="BJ78" s="431"/>
      <c r="BK78" s="332"/>
      <c r="BL78" s="431"/>
      <c r="BM78" s="332"/>
      <c r="BN78" s="431"/>
      <c r="BO78" s="332"/>
      <c r="BP78" s="431"/>
      <c r="BQ78" s="332"/>
      <c r="BR78" s="431"/>
      <c r="BS78" s="332"/>
      <c r="BT78" s="431"/>
      <c r="BU78" s="332"/>
      <c r="BV78" s="431"/>
      <c r="BW78" s="330">
        <v>254527.48</v>
      </c>
      <c r="BX78" s="429">
        <v>254527.48</v>
      </c>
      <c r="BY78" s="430">
        <v>1</v>
      </c>
      <c r="BZ78" s="430" t="s">
        <v>555</v>
      </c>
      <c r="CA78" s="430">
        <v>63631.869999999966</v>
      </c>
      <c r="CB78" s="20">
        <v>0</v>
      </c>
      <c r="CC78" s="329"/>
    </row>
    <row r="79" spans="1:81" x14ac:dyDescent="0.25">
      <c r="A79" s="329" t="s">
        <v>79</v>
      </c>
      <c r="B79" s="329" t="s">
        <v>14</v>
      </c>
      <c r="C79" s="329" t="s">
        <v>210</v>
      </c>
      <c r="D79" s="329" t="s">
        <v>886</v>
      </c>
      <c r="E79" s="329" t="s">
        <v>887</v>
      </c>
      <c r="F79" s="419" t="s">
        <v>324</v>
      </c>
      <c r="G79" s="420"/>
      <c r="H79" s="419"/>
      <c r="I79" s="329"/>
      <c r="J79" s="20">
        <v>53</v>
      </c>
      <c r="K79" s="20">
        <v>7110</v>
      </c>
      <c r="L79" s="415">
        <v>109800</v>
      </c>
      <c r="M79" s="20">
        <v>0</v>
      </c>
      <c r="O79" s="415"/>
      <c r="P79" s="20">
        <v>11</v>
      </c>
      <c r="Q79" s="20">
        <v>55</v>
      </c>
      <c r="R79" s="415">
        <v>9460</v>
      </c>
      <c r="S79" s="20">
        <v>19</v>
      </c>
      <c r="T79" s="20">
        <v>95</v>
      </c>
      <c r="U79" s="415">
        <v>16340</v>
      </c>
      <c r="V79" s="20"/>
      <c r="W79" s="585"/>
      <c r="X79" s="20"/>
      <c r="Y79" s="585"/>
      <c r="Z79" s="20"/>
      <c r="AA79" s="585"/>
      <c r="AB79" s="20"/>
      <c r="AC79" s="585"/>
      <c r="AD79" s="20"/>
      <c r="AE79" s="585"/>
      <c r="AF79" s="586"/>
      <c r="AG79" s="585"/>
      <c r="AH79" s="586"/>
      <c r="AI79" s="585"/>
      <c r="AJ79" s="20">
        <v>0</v>
      </c>
      <c r="AK79" s="20" t="s">
        <v>1045</v>
      </c>
      <c r="AL79" s="20">
        <v>0</v>
      </c>
      <c r="AM79" s="20" t="s">
        <v>1045</v>
      </c>
      <c r="AN79" s="20" t="s">
        <v>1045</v>
      </c>
      <c r="AO79" s="423">
        <v>83</v>
      </c>
      <c r="AP79" s="415">
        <v>33200</v>
      </c>
      <c r="AQ79" s="415">
        <v>168800</v>
      </c>
      <c r="AR79" s="20">
        <v>2</v>
      </c>
      <c r="AS79" s="20">
        <v>1</v>
      </c>
      <c r="AT79" s="415"/>
      <c r="AU79" s="415">
        <v>168800</v>
      </c>
      <c r="AV79" s="20" t="s">
        <v>244</v>
      </c>
      <c r="AW79" s="424">
        <v>0</v>
      </c>
      <c r="AX79" s="424">
        <v>168800</v>
      </c>
      <c r="AY79" s="294">
        <v>135040</v>
      </c>
      <c r="AZ79" s="425" t="s">
        <v>576</v>
      </c>
      <c r="BA79" s="294">
        <v>33760</v>
      </c>
      <c r="BB79" s="426"/>
      <c r="BC79" s="332"/>
      <c r="BD79" s="331"/>
      <c r="BE79" s="332"/>
      <c r="BF79" s="421"/>
      <c r="BG79" s="332"/>
      <c r="BH79" s="428"/>
      <c r="BI79" s="332"/>
      <c r="BJ79" s="431"/>
      <c r="BK79" s="332"/>
      <c r="BL79" s="431"/>
      <c r="BM79" s="332"/>
      <c r="BN79" s="431"/>
      <c r="BO79" s="332"/>
      <c r="BP79" s="431"/>
      <c r="BQ79" s="332"/>
      <c r="BR79" s="431"/>
      <c r="BS79" s="332"/>
      <c r="BT79" s="431"/>
      <c r="BU79" s="332"/>
      <c r="BV79" s="431"/>
      <c r="BW79" s="330">
        <v>135040</v>
      </c>
      <c r="BX79" s="429">
        <v>135040</v>
      </c>
      <c r="BY79" s="430">
        <v>1</v>
      </c>
      <c r="BZ79" s="430" t="s">
        <v>555</v>
      </c>
      <c r="CA79" s="430">
        <v>33760</v>
      </c>
      <c r="CB79" s="20">
        <v>0</v>
      </c>
      <c r="CC79" s="329"/>
    </row>
    <row r="80" spans="1:81" x14ac:dyDescent="0.25">
      <c r="A80" t="s">
        <v>80</v>
      </c>
      <c r="B80"/>
      <c r="C80" s="36"/>
      <c r="D80"/>
      <c r="E80" s="36"/>
      <c r="F80" s="36"/>
      <c r="G80" s="36"/>
      <c r="H80" s="36"/>
      <c r="I80" s="36"/>
      <c r="J80">
        <f>SUBTOTAL(109,Daten[SMS_Mob])</f>
        <v>5642</v>
      </c>
      <c r="K80"/>
      <c r="L80"/>
      <c r="M80">
        <f>SUBTOTAL(109,Daten[SMT_Mob])</f>
        <v>2677</v>
      </c>
      <c r="N80"/>
      <c r="O80"/>
      <c r="P80">
        <f>SUBTOTAL(109,Daten[STA_Mob])</f>
        <v>861</v>
      </c>
      <c r="Q80"/>
      <c r="R80"/>
      <c r="S80">
        <f>SUBTOTAL(109,Daten[STT_Mob])</f>
        <v>816</v>
      </c>
      <c r="T80"/>
      <c r="U80"/>
      <c r="V80" s="36"/>
      <c r="W80" s="36"/>
      <c r="X80" s="36"/>
      <c r="Y80" s="36"/>
      <c r="Z80" s="36"/>
      <c r="AA80" s="36"/>
      <c r="AB80" s="36"/>
      <c r="AC80" s="36"/>
      <c r="AD80" s="36"/>
      <c r="AE80" s="36"/>
      <c r="AF80" s="36"/>
      <c r="AG80" s="36"/>
      <c r="AH80" s="36"/>
      <c r="AI80" s="576">
        <f>SUBTOTAL(109,Daten[BIP_EUR])</f>
        <v>464800</v>
      </c>
      <c r="AJ80" s="36"/>
      <c r="AK80" s="36"/>
      <c r="AL80" s="36"/>
      <c r="AM80" s="36"/>
      <c r="AN80" s="36"/>
      <c r="AO80"/>
      <c r="AP80" s="274">
        <f>SUBTOTAL(109,Daten[OS_EUR])</f>
        <v>3062720</v>
      </c>
      <c r="AQ80" s="274">
        <f>SUBTOTAL(109,Daten[TOTAL_GRANT])</f>
        <v>22872786.450000003</v>
      </c>
      <c r="AR80" s="274"/>
      <c r="AS80" s="274"/>
      <c r="AT80"/>
      <c r="AU80"/>
      <c r="AV80"/>
      <c r="AW80"/>
      <c r="AX80"/>
      <c r="AY80"/>
      <c r="AZ80"/>
      <c r="BA80"/>
      <c r="BB80"/>
      <c r="BC80"/>
      <c r="BD80"/>
      <c r="BE80"/>
      <c r="BF80"/>
      <c r="BG80"/>
      <c r="BH80"/>
      <c r="BI80"/>
      <c r="BJ80"/>
      <c r="BK80"/>
      <c r="BL80"/>
      <c r="BM80"/>
      <c r="BN80"/>
      <c r="BO80"/>
      <c r="BP80"/>
      <c r="BQ80">
        <f>SUBTOTAL(103,Daten[PP10])</f>
        <v>0</v>
      </c>
      <c r="BR80"/>
      <c r="BS80"/>
      <c r="BT80"/>
      <c r="BU80"/>
      <c r="BV80"/>
      <c r="BW80"/>
      <c r="BX80"/>
      <c r="BY80"/>
      <c r="BZ80"/>
      <c r="CA80"/>
      <c r="CB80"/>
      <c r="CC80"/>
    </row>
    <row r="81" spans="1:82" x14ac:dyDescent="0.25">
      <c r="A81" s="20">
        <v>1</v>
      </c>
      <c r="B81" s="20">
        <v>2</v>
      </c>
      <c r="C81" s="24">
        <v>3</v>
      </c>
      <c r="D81" s="20">
        <v>4</v>
      </c>
      <c r="E81" s="20">
        <v>5</v>
      </c>
      <c r="F81" s="24">
        <v>6</v>
      </c>
      <c r="G81" s="20">
        <v>7</v>
      </c>
      <c r="H81" s="20">
        <v>8</v>
      </c>
      <c r="I81" s="24">
        <v>9</v>
      </c>
      <c r="J81" s="20">
        <v>10</v>
      </c>
      <c r="K81" s="20">
        <v>11</v>
      </c>
      <c r="L81" s="24">
        <v>12</v>
      </c>
      <c r="M81" s="20">
        <v>13</v>
      </c>
      <c r="N81" s="20">
        <v>14</v>
      </c>
      <c r="O81" s="24">
        <v>15</v>
      </c>
      <c r="P81" s="20">
        <v>16</v>
      </c>
      <c r="Q81" s="20">
        <v>17</v>
      </c>
      <c r="R81" s="24">
        <v>18</v>
      </c>
      <c r="S81" s="20">
        <v>19</v>
      </c>
      <c r="T81" s="20">
        <v>20</v>
      </c>
      <c r="U81" s="24">
        <v>21</v>
      </c>
      <c r="V81" s="20">
        <v>22</v>
      </c>
      <c r="W81" s="20">
        <v>23</v>
      </c>
      <c r="X81" s="24">
        <v>24</v>
      </c>
      <c r="Y81" s="20">
        <v>25</v>
      </c>
      <c r="Z81" s="20">
        <v>26</v>
      </c>
      <c r="AA81" s="24">
        <v>27</v>
      </c>
      <c r="AB81" s="20">
        <v>28</v>
      </c>
      <c r="AC81" s="20">
        <v>29</v>
      </c>
      <c r="AD81" s="24">
        <v>30</v>
      </c>
      <c r="AE81" s="20">
        <v>31</v>
      </c>
      <c r="AF81" s="20">
        <v>32</v>
      </c>
      <c r="AG81" s="24">
        <v>33</v>
      </c>
      <c r="AH81" s="20">
        <v>34</v>
      </c>
      <c r="AI81" s="20">
        <v>35</v>
      </c>
      <c r="AJ81" s="24">
        <v>36</v>
      </c>
      <c r="AK81" s="20">
        <v>37</v>
      </c>
      <c r="AL81" s="20">
        <v>38</v>
      </c>
      <c r="AM81" s="24">
        <v>39</v>
      </c>
      <c r="AN81" s="20">
        <v>40</v>
      </c>
      <c r="AO81" s="20">
        <v>41</v>
      </c>
      <c r="AP81" s="24">
        <v>42</v>
      </c>
      <c r="AQ81" s="20">
        <v>43</v>
      </c>
      <c r="AR81" s="20">
        <v>44</v>
      </c>
      <c r="AS81" s="24">
        <v>45</v>
      </c>
      <c r="AT81" s="20">
        <v>46</v>
      </c>
      <c r="AU81" s="20">
        <v>47</v>
      </c>
      <c r="AV81" s="24">
        <v>48</v>
      </c>
      <c r="AW81" s="20">
        <v>49</v>
      </c>
      <c r="AX81" s="20">
        <v>50</v>
      </c>
      <c r="AY81" s="24">
        <v>51</v>
      </c>
      <c r="AZ81" s="20">
        <v>52</v>
      </c>
      <c r="BA81" s="20">
        <v>53</v>
      </c>
      <c r="BB81" s="24">
        <v>54</v>
      </c>
      <c r="BC81" s="20">
        <v>55</v>
      </c>
      <c r="BD81" s="20">
        <v>56</v>
      </c>
      <c r="BE81" s="24">
        <v>57</v>
      </c>
      <c r="BF81" s="20">
        <v>58</v>
      </c>
      <c r="BG81" s="20">
        <v>59</v>
      </c>
      <c r="BH81" s="24">
        <v>60</v>
      </c>
      <c r="BI81" s="20">
        <v>61</v>
      </c>
      <c r="BJ81" s="20">
        <v>62</v>
      </c>
      <c r="BK81" s="24">
        <v>63</v>
      </c>
      <c r="BL81" s="20">
        <v>64</v>
      </c>
      <c r="BM81" s="20">
        <v>65</v>
      </c>
      <c r="BN81" s="24">
        <v>66</v>
      </c>
      <c r="BO81" s="20">
        <v>67</v>
      </c>
      <c r="BP81" s="20">
        <v>68</v>
      </c>
      <c r="BQ81" s="24">
        <v>69</v>
      </c>
      <c r="BR81" s="20">
        <v>70</v>
      </c>
      <c r="BS81" s="20">
        <v>71</v>
      </c>
      <c r="BT81" s="24">
        <v>72</v>
      </c>
      <c r="BU81" s="20">
        <v>73</v>
      </c>
      <c r="BV81" s="20">
        <v>74</v>
      </c>
      <c r="BW81" s="24">
        <v>75</v>
      </c>
      <c r="BX81" s="20">
        <v>76</v>
      </c>
      <c r="BY81" s="20">
        <v>77</v>
      </c>
      <c r="BZ81" s="24">
        <v>78</v>
      </c>
      <c r="CA81" s="20">
        <v>79</v>
      </c>
      <c r="CB81" s="20">
        <v>80</v>
      </c>
      <c r="CC81" s="24">
        <v>81</v>
      </c>
      <c r="CD81" s="20">
        <v>82</v>
      </c>
    </row>
    <row r="82" spans="1:82" x14ac:dyDescent="0.25">
      <c r="A82" s="20">
        <v>1</v>
      </c>
      <c r="B82" s="20">
        <v>2</v>
      </c>
      <c r="C82" s="24">
        <v>3</v>
      </c>
      <c r="D82" s="20">
        <v>4</v>
      </c>
      <c r="E82" s="20">
        <v>5</v>
      </c>
      <c r="F82" s="24">
        <v>6</v>
      </c>
      <c r="G82" s="20">
        <v>7</v>
      </c>
      <c r="H82" s="20">
        <v>8</v>
      </c>
      <c r="I82" s="24">
        <v>9</v>
      </c>
      <c r="J82" s="20">
        <v>10</v>
      </c>
      <c r="K82" s="20">
        <v>11</v>
      </c>
      <c r="L82" s="24">
        <v>12</v>
      </c>
      <c r="M82" s="20">
        <v>13</v>
      </c>
      <c r="N82" s="20">
        <v>14</v>
      </c>
      <c r="O82" s="24">
        <v>15</v>
      </c>
      <c r="P82" s="20">
        <v>16</v>
      </c>
      <c r="Q82" s="20">
        <v>17</v>
      </c>
      <c r="R82" s="24">
        <v>18</v>
      </c>
      <c r="S82" s="20">
        <v>19</v>
      </c>
      <c r="T82" s="20">
        <v>20</v>
      </c>
      <c r="U82" s="24">
        <v>21</v>
      </c>
      <c r="V82" s="20">
        <v>22</v>
      </c>
      <c r="W82" s="20">
        <v>23</v>
      </c>
      <c r="X82" s="24">
        <v>24</v>
      </c>
      <c r="Y82" s="20">
        <v>25</v>
      </c>
      <c r="Z82" s="20">
        <v>26</v>
      </c>
      <c r="AA82" s="24">
        <v>27</v>
      </c>
      <c r="AB82" s="20">
        <v>28</v>
      </c>
      <c r="AC82" s="20">
        <v>29</v>
      </c>
      <c r="AD82" s="24">
        <v>30</v>
      </c>
      <c r="AE82" s="409">
        <v>31</v>
      </c>
      <c r="AF82" s="409"/>
      <c r="AG82" s="409"/>
      <c r="AH82" s="409"/>
      <c r="AI82" s="409"/>
      <c r="AJ82" s="409">
        <v>32</v>
      </c>
      <c r="AK82" s="24">
        <v>33</v>
      </c>
      <c r="AL82" s="20">
        <v>34</v>
      </c>
      <c r="AM82" s="20">
        <v>35</v>
      </c>
      <c r="AN82" s="24">
        <v>36</v>
      </c>
      <c r="AO82" s="409">
        <v>37</v>
      </c>
      <c r="AP82" s="409">
        <v>38</v>
      </c>
      <c r="AQ82" s="414">
        <v>39</v>
      </c>
      <c r="AR82" s="414"/>
      <c r="AS82" s="414"/>
      <c r="AT82" s="409">
        <v>40</v>
      </c>
      <c r="AU82" s="20">
        <v>41</v>
      </c>
      <c r="AV82" s="24">
        <v>42</v>
      </c>
      <c r="AW82" s="20">
        <v>43</v>
      </c>
      <c r="AX82" s="20">
        <v>44</v>
      </c>
      <c r="AY82" s="24">
        <v>45</v>
      </c>
      <c r="AZ82" s="20">
        <v>46</v>
      </c>
      <c r="BA82" s="20">
        <v>47</v>
      </c>
      <c r="BB82" s="24">
        <v>48</v>
      </c>
      <c r="BC82" s="20">
        <v>49</v>
      </c>
      <c r="BD82" s="20">
        <v>50</v>
      </c>
      <c r="BE82" s="24">
        <v>51</v>
      </c>
      <c r="BF82" s="20">
        <v>52</v>
      </c>
      <c r="BG82" s="20">
        <v>53</v>
      </c>
      <c r="BH82" s="24">
        <v>54</v>
      </c>
      <c r="BI82" s="20">
        <v>55</v>
      </c>
      <c r="BJ82" s="20">
        <v>56</v>
      </c>
      <c r="BK82" s="24">
        <v>57</v>
      </c>
      <c r="BL82" s="20">
        <v>58</v>
      </c>
      <c r="BM82" s="20">
        <v>59</v>
      </c>
      <c r="BN82" s="24">
        <v>60</v>
      </c>
      <c r="BO82" s="20">
        <v>61</v>
      </c>
      <c r="BP82" s="20">
        <v>62</v>
      </c>
      <c r="BQ82" s="24">
        <v>63</v>
      </c>
      <c r="BR82" s="20">
        <v>64</v>
      </c>
      <c r="BS82" s="20">
        <v>65</v>
      </c>
      <c r="BT82" s="24">
        <v>66</v>
      </c>
      <c r="BU82" s="20">
        <v>67</v>
      </c>
      <c r="BV82" s="20">
        <v>68</v>
      </c>
      <c r="BW82" s="24">
        <v>69</v>
      </c>
      <c r="BX82" s="20">
        <v>70</v>
      </c>
      <c r="BY82" s="20">
        <v>71</v>
      </c>
      <c r="BZ82" s="24">
        <v>72</v>
      </c>
      <c r="CA82" s="20">
        <v>73</v>
      </c>
      <c r="CB82" s="20">
        <v>74</v>
      </c>
      <c r="CC82" s="24">
        <v>75</v>
      </c>
      <c r="CD82" s="20">
        <v>76</v>
      </c>
    </row>
    <row r="83" spans="1:82" x14ac:dyDescent="0.25">
      <c r="F83" s="24"/>
      <c r="G83" s="20"/>
      <c r="H83" s="20"/>
      <c r="I83" s="24"/>
      <c r="L83" s="24"/>
      <c r="O83" s="24"/>
      <c r="R83" s="24"/>
      <c r="U83" s="24"/>
      <c r="V83" s="20"/>
      <c r="W83" s="20"/>
      <c r="X83" s="24"/>
      <c r="Y83" s="20"/>
      <c r="Z83" s="20"/>
      <c r="AA83" s="24"/>
      <c r="AB83" s="20"/>
      <c r="AC83" s="20"/>
      <c r="AD83" s="24"/>
      <c r="AE83" s="409"/>
      <c r="AF83" s="409"/>
      <c r="AG83" s="409"/>
      <c r="AH83" s="409"/>
      <c r="AI83" s="409"/>
      <c r="AJ83" s="409"/>
      <c r="AK83" s="24"/>
      <c r="AL83" s="20"/>
      <c r="AM83" s="20"/>
      <c r="AN83" s="24"/>
      <c r="AO83" s="409"/>
      <c r="AP83" s="409"/>
      <c r="AQ83" s="414"/>
      <c r="AR83" s="414"/>
      <c r="AS83" s="414"/>
      <c r="AT83" s="409"/>
      <c r="AU83" s="20"/>
      <c r="AV83" s="24"/>
      <c r="AW83" s="20"/>
      <c r="AX83" s="20"/>
      <c r="AY83" s="24"/>
      <c r="AZ83" s="20"/>
      <c r="BA83" s="20"/>
      <c r="BB83" s="24"/>
      <c r="BC83" s="20"/>
      <c r="BD83" s="20"/>
      <c r="BE83" s="24"/>
      <c r="BF83" s="20"/>
      <c r="BG83" s="20"/>
      <c r="BH83" s="24"/>
      <c r="BI83" s="20"/>
      <c r="BJ83" s="20"/>
      <c r="BK83" s="24"/>
      <c r="BM83" s="20"/>
      <c r="BN83" s="24"/>
      <c r="BO83" s="20"/>
      <c r="BP83" s="20"/>
      <c r="BQ83" s="24"/>
      <c r="BT83" s="24"/>
      <c r="BW83" s="24"/>
      <c r="BZ83" s="24"/>
      <c r="CC83" s="24"/>
    </row>
    <row r="84" spans="1:82" x14ac:dyDescent="0.25">
      <c r="A84" s="20" t="s">
        <v>904</v>
      </c>
      <c r="AK84" s="21"/>
      <c r="AL84" s="21"/>
      <c r="AM84" s="21"/>
      <c r="AN84" s="21"/>
      <c r="AP84" s="25"/>
      <c r="AQ84" s="25"/>
      <c r="AR84" s="25"/>
      <c r="AS84" s="25"/>
      <c r="AT84" s="25"/>
      <c r="AU84" s="25"/>
      <c r="BG84" s="20"/>
      <c r="BH84" s="26"/>
      <c r="BI84" s="26"/>
      <c r="BJ84" s="26"/>
      <c r="BK84" s="26"/>
      <c r="BL84" s="26"/>
      <c r="BM84" s="20"/>
      <c r="BN84" s="20"/>
      <c r="BO84" s="20"/>
      <c r="BP84" s="20"/>
      <c r="BQ84" s="20"/>
    </row>
    <row r="85" spans="1:82" ht="45" x14ac:dyDescent="0.25">
      <c r="C85" s="20"/>
      <c r="F85" s="20"/>
      <c r="G85" s="20"/>
      <c r="H85" s="20"/>
      <c r="I85" s="20"/>
      <c r="J85" s="401" t="s">
        <v>221</v>
      </c>
      <c r="K85" s="401" t="s">
        <v>689</v>
      </c>
      <c r="L85" s="401" t="s">
        <v>693</v>
      </c>
      <c r="M85" s="401" t="s">
        <v>223</v>
      </c>
      <c r="N85" s="401" t="s">
        <v>690</v>
      </c>
      <c r="O85" s="401" t="s">
        <v>694</v>
      </c>
      <c r="P85" s="401" t="s">
        <v>225</v>
      </c>
      <c r="Q85" s="401" t="s">
        <v>226</v>
      </c>
      <c r="R85" s="401" t="s">
        <v>695</v>
      </c>
      <c r="S85" s="401" t="s">
        <v>228</v>
      </c>
      <c r="T85" s="401" t="s">
        <v>229</v>
      </c>
      <c r="U85" s="401" t="s">
        <v>696</v>
      </c>
      <c r="V85" s="401" t="s">
        <v>697</v>
      </c>
      <c r="W85" s="401" t="s">
        <v>698</v>
      </c>
      <c r="X85" s="401" t="s">
        <v>699</v>
      </c>
      <c r="Y85" s="401" t="s">
        <v>700</v>
      </c>
      <c r="Z85" s="401" t="s">
        <v>701</v>
      </c>
      <c r="AA85" s="401" t="s">
        <v>702</v>
      </c>
      <c r="AB85" s="401" t="s">
        <v>703</v>
      </c>
      <c r="AC85" s="401" t="s">
        <v>704</v>
      </c>
      <c r="AD85" s="401" t="s">
        <v>705</v>
      </c>
      <c r="AE85" s="401" t="s">
        <v>706</v>
      </c>
      <c r="AF85" s="402" t="s">
        <v>707</v>
      </c>
      <c r="AG85" s="401" t="s">
        <v>708</v>
      </c>
      <c r="AH85" s="402" t="s">
        <v>709</v>
      </c>
      <c r="AI85" s="401" t="s">
        <v>710</v>
      </c>
      <c r="AJ85" s="401" t="s">
        <v>711</v>
      </c>
      <c r="AK85" s="401" t="s">
        <v>712</v>
      </c>
      <c r="AL85" s="401" t="s">
        <v>713</v>
      </c>
      <c r="AM85" s="401" t="s">
        <v>714</v>
      </c>
      <c r="AN85" s="401" t="s">
        <v>715</v>
      </c>
      <c r="AO85" s="412" t="s">
        <v>232</v>
      </c>
      <c r="AP85" s="413" t="s">
        <v>716</v>
      </c>
      <c r="AQ85" s="401" t="s">
        <v>717</v>
      </c>
      <c r="AR85" s="401" t="s">
        <v>718</v>
      </c>
      <c r="AS85" s="403" t="s">
        <v>719</v>
      </c>
      <c r="AT85" s="404" t="s">
        <v>720</v>
      </c>
      <c r="AU85" s="404" t="s">
        <v>721</v>
      </c>
      <c r="AV85" s="403" t="s">
        <v>234</v>
      </c>
      <c r="AW85" s="405" t="s">
        <v>722</v>
      </c>
      <c r="AX85" s="405" t="s">
        <v>723</v>
      </c>
      <c r="AY85" s="405"/>
      <c r="AZ85" s="404" t="s">
        <v>553</v>
      </c>
      <c r="BA85" s="404" t="s">
        <v>554</v>
      </c>
      <c r="BB85" s="404" t="s">
        <v>555</v>
      </c>
      <c r="BC85" s="406" t="s">
        <v>556</v>
      </c>
      <c r="BD85" s="404" t="s">
        <v>724</v>
      </c>
      <c r="BE85" s="406" t="s">
        <v>558</v>
      </c>
      <c r="BF85" s="404" t="s">
        <v>559</v>
      </c>
      <c r="BG85" s="404" t="s">
        <v>560</v>
      </c>
      <c r="BH85" s="404" t="s">
        <v>561</v>
      </c>
      <c r="BI85" s="406" t="s">
        <v>562</v>
      </c>
      <c r="BJ85" s="404" t="s">
        <v>563</v>
      </c>
      <c r="BK85" s="404" t="s">
        <v>564</v>
      </c>
      <c r="BL85" s="404" t="s">
        <v>565</v>
      </c>
      <c r="BM85" s="404" t="s">
        <v>566</v>
      </c>
      <c r="BN85" s="404" t="s">
        <v>567</v>
      </c>
      <c r="BO85" s="404" t="s">
        <v>568</v>
      </c>
      <c r="BP85" s="404" t="s">
        <v>569</v>
      </c>
      <c r="BQ85" s="404" t="s">
        <v>570</v>
      </c>
      <c r="BR85" s="404" t="s">
        <v>571</v>
      </c>
      <c r="BS85" s="404" t="s">
        <v>572</v>
      </c>
      <c r="BT85" s="404" t="s">
        <v>525</v>
      </c>
      <c r="BU85" s="404" t="s">
        <v>573</v>
      </c>
      <c r="BV85" s="404" t="s">
        <v>526</v>
      </c>
      <c r="BW85" s="404" t="s">
        <v>574</v>
      </c>
      <c r="BX85" s="404" t="s">
        <v>575</v>
      </c>
      <c r="BY85" s="404" t="s">
        <v>725</v>
      </c>
      <c r="BZ85" s="407" t="s">
        <v>726</v>
      </c>
      <c r="CA85" s="407" t="s">
        <v>727</v>
      </c>
      <c r="CB85" s="407" t="s">
        <v>728</v>
      </c>
      <c r="CC85" s="408" t="s">
        <v>729</v>
      </c>
    </row>
    <row r="86" spans="1:82" x14ac:dyDescent="0.25">
      <c r="BL86" s="25"/>
      <c r="BM86" s="20"/>
      <c r="BR86" s="26"/>
    </row>
    <row r="87" spans="1:82" x14ac:dyDescent="0.25">
      <c r="A87" s="20" t="s">
        <v>903</v>
      </c>
      <c r="BL87" s="25"/>
      <c r="BM87" s="20"/>
      <c r="BR87" s="26"/>
    </row>
    <row r="88" spans="1:82" x14ac:dyDescent="0.25">
      <c r="A88" s="285" t="s">
        <v>219</v>
      </c>
      <c r="B88" s="285" t="s">
        <v>220</v>
      </c>
      <c r="C88" s="285" t="s">
        <v>260</v>
      </c>
      <c r="D88" s="285" t="s">
        <v>81</v>
      </c>
      <c r="E88" s="285" t="s">
        <v>341</v>
      </c>
      <c r="F88" s="285" t="s">
        <v>264</v>
      </c>
      <c r="G88" s="285" t="s">
        <v>265</v>
      </c>
      <c r="H88" s="285" t="s">
        <v>266</v>
      </c>
      <c r="I88" s="285" t="s">
        <v>330</v>
      </c>
      <c r="J88" s="285" t="s">
        <v>221</v>
      </c>
      <c r="K88" s="285" t="s">
        <v>551</v>
      </c>
      <c r="L88" s="285" t="s">
        <v>222</v>
      </c>
      <c r="M88" s="285" t="s">
        <v>223</v>
      </c>
      <c r="N88" s="285" t="s">
        <v>552</v>
      </c>
      <c r="O88" s="285" t="s">
        <v>224</v>
      </c>
      <c r="P88" s="285" t="s">
        <v>225</v>
      </c>
      <c r="Q88" s="285" t="s">
        <v>226</v>
      </c>
      <c r="R88" s="285" t="s">
        <v>227</v>
      </c>
      <c r="S88" s="285" t="s">
        <v>228</v>
      </c>
      <c r="T88" s="285" t="s">
        <v>229</v>
      </c>
      <c r="U88" s="285" t="s">
        <v>230</v>
      </c>
      <c r="V88" s="285" t="s">
        <v>331</v>
      </c>
      <c r="W88" s="285" t="s">
        <v>332</v>
      </c>
      <c r="X88" s="285" t="s">
        <v>333</v>
      </c>
      <c r="Y88" s="285" t="s">
        <v>334</v>
      </c>
      <c r="Z88" s="285" t="s">
        <v>335</v>
      </c>
      <c r="AA88" s="285" t="s">
        <v>336</v>
      </c>
      <c r="AB88" s="285" t="s">
        <v>337</v>
      </c>
      <c r="AC88" s="285" t="s">
        <v>338</v>
      </c>
      <c r="AD88" s="285" t="s">
        <v>339</v>
      </c>
      <c r="AE88" s="285" t="s">
        <v>340</v>
      </c>
      <c r="AF88" s="285" t="s">
        <v>730</v>
      </c>
      <c r="AG88" s="285" t="s">
        <v>592</v>
      </c>
      <c r="AH88" s="285" t="s">
        <v>732</v>
      </c>
      <c r="AI88" s="285" t="s">
        <v>731</v>
      </c>
      <c r="AJ88" s="285" t="s">
        <v>362</v>
      </c>
      <c r="AK88" s="285" t="s">
        <v>363</v>
      </c>
      <c r="AL88" s="285" t="s">
        <v>360</v>
      </c>
      <c r="AM88" s="285" t="s">
        <v>361</v>
      </c>
      <c r="AN88" s="285" t="s">
        <v>364</v>
      </c>
      <c r="AO88" s="410" t="s">
        <v>231</v>
      </c>
      <c r="AP88" s="410" t="s">
        <v>232</v>
      </c>
      <c r="AQ88" s="287" t="s">
        <v>233</v>
      </c>
      <c r="AR88" s="287" t="s">
        <v>734</v>
      </c>
      <c r="AS88" s="287" t="s">
        <v>733</v>
      </c>
      <c r="AT88" s="286" t="s">
        <v>395</v>
      </c>
      <c r="AU88" s="286" t="s">
        <v>396</v>
      </c>
      <c r="AV88" s="286" t="s">
        <v>234</v>
      </c>
      <c r="AW88" s="288" t="s">
        <v>235</v>
      </c>
      <c r="AX88" s="288" t="s">
        <v>236</v>
      </c>
      <c r="AY88" s="288" t="s">
        <v>237</v>
      </c>
      <c r="AZ88" s="287" t="s">
        <v>553</v>
      </c>
      <c r="BA88" s="287" t="s">
        <v>554</v>
      </c>
      <c r="BB88" s="287" t="s">
        <v>555</v>
      </c>
      <c r="BC88" s="287" t="s">
        <v>556</v>
      </c>
      <c r="BD88" s="287" t="s">
        <v>557</v>
      </c>
      <c r="BE88" s="287" t="s">
        <v>558</v>
      </c>
      <c r="BF88" s="287" t="s">
        <v>559</v>
      </c>
      <c r="BG88" s="287" t="s">
        <v>560</v>
      </c>
      <c r="BH88" s="287" t="s">
        <v>561</v>
      </c>
      <c r="BI88" s="287" t="s">
        <v>562</v>
      </c>
      <c r="BJ88" s="287" t="s">
        <v>563</v>
      </c>
      <c r="BK88" s="287" t="s">
        <v>564</v>
      </c>
      <c r="BL88" s="287" t="s">
        <v>565</v>
      </c>
      <c r="BM88" s="287" t="s">
        <v>566</v>
      </c>
      <c r="BN88" s="287" t="s">
        <v>567</v>
      </c>
      <c r="BO88" s="287" t="s">
        <v>568</v>
      </c>
      <c r="BP88" s="287" t="s">
        <v>569</v>
      </c>
      <c r="BQ88" s="287" t="s">
        <v>570</v>
      </c>
      <c r="BR88" s="287" t="s">
        <v>571</v>
      </c>
      <c r="BS88" s="287" t="s">
        <v>572</v>
      </c>
      <c r="BT88" s="287" t="s">
        <v>525</v>
      </c>
      <c r="BU88" s="287" t="s">
        <v>573</v>
      </c>
      <c r="BV88" s="287" t="s">
        <v>526</v>
      </c>
      <c r="BW88" s="287" t="s">
        <v>574</v>
      </c>
      <c r="BX88" s="287" t="s">
        <v>575</v>
      </c>
      <c r="BY88" s="289" t="s">
        <v>238</v>
      </c>
      <c r="BZ88" s="289" t="s">
        <v>239</v>
      </c>
      <c r="CA88" s="289" t="s">
        <v>240</v>
      </c>
      <c r="CB88" s="289" t="s">
        <v>241</v>
      </c>
      <c r="CC88" s="289" t="s">
        <v>242</v>
      </c>
      <c r="CD88" s="289" t="s">
        <v>243</v>
      </c>
    </row>
    <row r="89" spans="1:82" x14ac:dyDescent="0.25">
      <c r="A89" s="290" t="s">
        <v>65</v>
      </c>
      <c r="B89" s="290" t="s">
        <v>129</v>
      </c>
      <c r="C89" s="290" t="s">
        <v>194</v>
      </c>
      <c r="D89" s="290" t="s">
        <v>253</v>
      </c>
      <c r="E89" s="290" t="s">
        <v>342</v>
      </c>
      <c r="F89" s="290" t="s">
        <v>308</v>
      </c>
      <c r="G89" s="290"/>
      <c r="H89" s="290"/>
      <c r="I89" s="290"/>
      <c r="J89" s="290">
        <v>50</v>
      </c>
      <c r="K89" s="290">
        <v>6187</v>
      </c>
      <c r="L89" s="290">
        <v>90949.67</v>
      </c>
      <c r="M89" s="290">
        <v>0</v>
      </c>
      <c r="N89" s="290">
        <v>0</v>
      </c>
      <c r="O89" s="290">
        <v>0</v>
      </c>
      <c r="P89" s="290">
        <v>5</v>
      </c>
      <c r="Q89" s="290">
        <v>31</v>
      </c>
      <c r="R89" s="290">
        <v>5000</v>
      </c>
      <c r="S89" s="290">
        <v>0</v>
      </c>
      <c r="T89" s="290">
        <v>0</v>
      </c>
      <c r="U89" s="290">
        <v>0</v>
      </c>
      <c r="V89" s="290">
        <v>15</v>
      </c>
      <c r="W89" s="290">
        <v>6000</v>
      </c>
      <c r="X89" s="290">
        <v>0</v>
      </c>
      <c r="Y89" s="290">
        <v>0</v>
      </c>
      <c r="Z89" s="290">
        <v>0</v>
      </c>
      <c r="AA89" s="290">
        <v>0</v>
      </c>
      <c r="AB89" s="290">
        <v>0</v>
      </c>
      <c r="AC89" s="290">
        <v>0</v>
      </c>
      <c r="AD89" s="290">
        <v>0</v>
      </c>
      <c r="AE89" s="290">
        <v>0</v>
      </c>
      <c r="AF89" s="290"/>
      <c r="AG89" s="290"/>
      <c r="AH89" s="290"/>
      <c r="AI89" s="290"/>
      <c r="AJ89" s="290">
        <v>1</v>
      </c>
      <c r="AK89" s="290">
        <v>25000</v>
      </c>
      <c r="AL89" s="290">
        <v>1</v>
      </c>
      <c r="AM89" s="290">
        <v>100</v>
      </c>
      <c r="AN89" s="290"/>
      <c r="AO89" s="411">
        <v>22000</v>
      </c>
      <c r="AP89" s="411">
        <v>55</v>
      </c>
      <c r="AQ89" s="291">
        <v>149049.66999999998</v>
      </c>
      <c r="AR89" s="291"/>
      <c r="AS89" s="291"/>
      <c r="AT89" s="290"/>
      <c r="AU89" s="290"/>
      <c r="AV89" s="290" t="s">
        <v>244</v>
      </c>
      <c r="AW89" s="290">
        <v>141508.80000000002</v>
      </c>
      <c r="AX89" s="290">
        <v>70754.400000000009</v>
      </c>
      <c r="AY89" s="290">
        <v>35377.200000000004</v>
      </c>
      <c r="AZ89" s="292">
        <v>141508.79999999999</v>
      </c>
      <c r="BA89" s="293" t="s">
        <v>576</v>
      </c>
      <c r="BB89" s="295">
        <v>-17559.13</v>
      </c>
      <c r="BC89" s="296" t="s">
        <v>576</v>
      </c>
      <c r="BD89" s="291"/>
      <c r="BE89" s="298"/>
      <c r="BF89" s="291"/>
      <c r="BG89" s="297"/>
      <c r="BH89" s="291"/>
      <c r="BI89" s="298"/>
      <c r="BJ89" s="291"/>
      <c r="BK89" s="291"/>
      <c r="BL89" s="291"/>
      <c r="BM89" s="291"/>
      <c r="BN89" s="291"/>
      <c r="BO89" s="291"/>
      <c r="BP89" s="291"/>
      <c r="BQ89" s="291"/>
      <c r="BR89" s="291"/>
      <c r="BS89" s="291"/>
      <c r="BT89" s="291"/>
      <c r="BU89" s="291"/>
      <c r="BV89" s="291"/>
      <c r="BW89" s="291"/>
      <c r="BX89" s="291">
        <v>123949.66999999998</v>
      </c>
      <c r="BY89" s="290" t="s">
        <v>245</v>
      </c>
      <c r="BZ89" s="290"/>
      <c r="CA89" s="290"/>
      <c r="CB89" s="290"/>
      <c r="CC89" s="290"/>
      <c r="CD89" s="290"/>
    </row>
    <row r="90" spans="1:82" x14ac:dyDescent="0.25">
      <c r="A90" t="s">
        <v>80</v>
      </c>
      <c r="B90"/>
      <c r="C90" s="36"/>
      <c r="D90"/>
      <c r="E90" s="36"/>
      <c r="F90" s="36"/>
      <c r="G90" s="36"/>
      <c r="H90" s="36"/>
      <c r="I90" s="36"/>
      <c r="J90">
        <v>50</v>
      </c>
      <c r="K90"/>
      <c r="L90"/>
      <c r="M90">
        <v>0</v>
      </c>
      <c r="N90"/>
      <c r="O90"/>
      <c r="P90">
        <v>5</v>
      </c>
      <c r="Q90"/>
      <c r="R90"/>
      <c r="S90">
        <v>0</v>
      </c>
      <c r="T90"/>
      <c r="U90"/>
      <c r="V90" s="36"/>
      <c r="W90" s="36"/>
      <c r="X90" s="36"/>
      <c r="Y90" s="36"/>
      <c r="Z90" s="36"/>
      <c r="AA90" s="36"/>
      <c r="AB90" s="36"/>
      <c r="AC90" s="36"/>
      <c r="AD90" s="36"/>
      <c r="AE90" s="36"/>
      <c r="AF90" s="36"/>
      <c r="AG90" s="36"/>
      <c r="AH90" s="36"/>
      <c r="AI90" s="36"/>
      <c r="AJ90" s="36"/>
      <c r="AK90" s="36"/>
      <c r="AL90" s="36"/>
      <c r="AM90" s="36"/>
      <c r="AN90" s="36"/>
      <c r="AO90"/>
      <c r="AP90">
        <v>55</v>
      </c>
      <c r="AQ90" s="274">
        <v>149049.66999999998</v>
      </c>
      <c r="AR90" s="274"/>
      <c r="AS90" s="274"/>
      <c r="AT90"/>
      <c r="AU90"/>
      <c r="AV90"/>
      <c r="AW90"/>
      <c r="AX90"/>
      <c r="AY90"/>
      <c r="AZ90"/>
      <c r="BA90"/>
      <c r="BB90"/>
      <c r="BC90"/>
      <c r="BD90"/>
      <c r="BE90"/>
      <c r="BF90"/>
      <c r="BG90"/>
      <c r="BH90"/>
      <c r="BI90"/>
      <c r="BJ90"/>
      <c r="BK90"/>
      <c r="BL90"/>
      <c r="BM90"/>
      <c r="BN90"/>
      <c r="BO90"/>
      <c r="BP90"/>
      <c r="BQ90"/>
      <c r="BR90">
        <v>0</v>
      </c>
      <c r="BS90"/>
      <c r="BT90"/>
      <c r="BU90"/>
      <c r="BV90"/>
      <c r="BW90"/>
      <c r="BX90"/>
      <c r="BY90"/>
      <c r="BZ90"/>
      <c r="CA90"/>
      <c r="CB90"/>
      <c r="CC90"/>
      <c r="CD90"/>
    </row>
    <row r="91" spans="1:82" x14ac:dyDescent="0.25">
      <c r="BL91" s="25"/>
      <c r="BM91" s="20"/>
      <c r="BR91" s="26"/>
    </row>
    <row r="92" spans="1:82" x14ac:dyDescent="0.25">
      <c r="A92" s="20">
        <v>1</v>
      </c>
      <c r="B92" s="20">
        <v>2</v>
      </c>
      <c r="C92" s="24">
        <v>3</v>
      </c>
      <c r="D92" s="20">
        <v>4</v>
      </c>
      <c r="E92" s="20">
        <v>5</v>
      </c>
      <c r="F92" s="24">
        <v>6</v>
      </c>
      <c r="G92" s="20">
        <v>7</v>
      </c>
      <c r="H92" s="20">
        <v>8</v>
      </c>
      <c r="I92" s="24">
        <v>9</v>
      </c>
      <c r="J92" s="20">
        <v>10</v>
      </c>
      <c r="K92" s="20">
        <v>11</v>
      </c>
      <c r="L92" s="24">
        <v>12</v>
      </c>
      <c r="M92" s="20">
        <v>13</v>
      </c>
      <c r="N92" s="20">
        <v>14</v>
      </c>
      <c r="O92" s="24">
        <v>15</v>
      </c>
      <c r="P92" s="20">
        <v>16</v>
      </c>
      <c r="Q92" s="20">
        <v>17</v>
      </c>
      <c r="R92" s="24">
        <v>18</v>
      </c>
      <c r="S92" s="20">
        <v>19</v>
      </c>
      <c r="T92" s="20">
        <v>20</v>
      </c>
      <c r="U92" s="24">
        <v>21</v>
      </c>
      <c r="V92" s="20">
        <v>22</v>
      </c>
      <c r="W92" s="20">
        <v>23</v>
      </c>
      <c r="X92" s="24">
        <v>24</v>
      </c>
      <c r="Y92" s="20">
        <v>25</v>
      </c>
      <c r="Z92" s="20">
        <v>26</v>
      </c>
      <c r="AA92" s="24">
        <v>27</v>
      </c>
      <c r="AB92" s="20">
        <v>28</v>
      </c>
      <c r="AC92" s="20">
        <v>29</v>
      </c>
      <c r="AD92" s="24">
        <v>30</v>
      </c>
      <c r="AE92" s="409">
        <v>31</v>
      </c>
      <c r="AF92" s="409"/>
      <c r="AG92" s="409"/>
      <c r="AH92" s="409"/>
      <c r="AI92" s="409"/>
      <c r="AJ92" s="409">
        <v>32</v>
      </c>
      <c r="AK92" s="24">
        <v>33</v>
      </c>
      <c r="AL92" s="20">
        <v>34</v>
      </c>
      <c r="AM92" s="20">
        <v>35</v>
      </c>
      <c r="AN92" s="24">
        <v>36</v>
      </c>
      <c r="AO92" s="409">
        <v>37</v>
      </c>
      <c r="AP92" s="409">
        <v>38</v>
      </c>
      <c r="AQ92" s="414">
        <v>39</v>
      </c>
      <c r="AR92" s="414"/>
      <c r="AS92" s="414"/>
      <c r="AT92" s="409">
        <v>40</v>
      </c>
      <c r="AU92" s="20">
        <v>41</v>
      </c>
      <c r="AV92" s="24">
        <v>42</v>
      </c>
      <c r="AW92" s="20">
        <v>43</v>
      </c>
      <c r="AX92" s="20">
        <v>44</v>
      </c>
      <c r="AY92" s="24">
        <v>45</v>
      </c>
      <c r="AZ92" s="20">
        <v>46</v>
      </c>
      <c r="BA92" s="20">
        <v>47</v>
      </c>
      <c r="BB92" s="24">
        <v>48</v>
      </c>
      <c r="BC92" s="20">
        <v>49</v>
      </c>
      <c r="BD92" s="20">
        <v>50</v>
      </c>
      <c r="BE92" s="24">
        <v>51</v>
      </c>
      <c r="BF92" s="20">
        <v>52</v>
      </c>
      <c r="BG92" s="20">
        <v>53</v>
      </c>
      <c r="BH92" s="24">
        <v>54</v>
      </c>
      <c r="BI92" s="20">
        <v>55</v>
      </c>
      <c r="BJ92" s="20">
        <v>56</v>
      </c>
      <c r="BK92" s="24">
        <v>57</v>
      </c>
      <c r="BL92" s="20">
        <v>58</v>
      </c>
      <c r="BM92" s="20">
        <v>59</v>
      </c>
      <c r="BN92" s="24">
        <v>60</v>
      </c>
      <c r="BO92" s="20">
        <v>61</v>
      </c>
      <c r="BP92" s="20">
        <v>62</v>
      </c>
      <c r="BQ92" s="24">
        <v>63</v>
      </c>
      <c r="BR92" s="20">
        <v>64</v>
      </c>
      <c r="BS92" s="20">
        <v>65</v>
      </c>
      <c r="BT92" s="24">
        <v>66</v>
      </c>
      <c r="BU92" s="20">
        <v>67</v>
      </c>
      <c r="BV92" s="20">
        <v>68</v>
      </c>
      <c r="BW92" s="24">
        <v>69</v>
      </c>
      <c r="BX92" s="20">
        <v>70</v>
      </c>
      <c r="BY92" s="20">
        <v>71</v>
      </c>
      <c r="BZ92" s="24">
        <v>72</v>
      </c>
      <c r="CA92" s="20">
        <v>73</v>
      </c>
      <c r="CB92" s="20">
        <v>74</v>
      </c>
      <c r="CC92" s="24">
        <v>75</v>
      </c>
      <c r="CD92" s="20">
        <v>76</v>
      </c>
    </row>
    <row r="93" spans="1:82" x14ac:dyDescent="0.25">
      <c r="BL93" s="25"/>
      <c r="BM93" s="20"/>
      <c r="BR93" s="26"/>
    </row>
    <row r="94" spans="1:82" x14ac:dyDescent="0.25">
      <c r="BL94" s="25"/>
      <c r="BM94" s="20"/>
      <c r="BR94" s="26"/>
    </row>
    <row r="95" spans="1:82" x14ac:dyDescent="0.25">
      <c r="BL95" s="25"/>
      <c r="BM95" s="20"/>
      <c r="BR95" s="26"/>
    </row>
  </sheetData>
  <sheetProtection algorithmName="SHA-512" hashValue="UaT+dqDNcpxdlZwp/+hOAWPGcJ73BWhLLz8iPDlHhJRnLDsBPfADGfNUFhETRQk5lTD+2NHmoB8OctmmOnmVYg==" saltValue="1sb3xS+ZmBGn8+YdeOTWiw==" spinCount="100000" sheet="1" objects="1" scenarios="1"/>
  <phoneticPr fontId="15" type="noConversion"/>
  <conditionalFormatting sqref="AY3:AZ78">
    <cfRule type="expression" dxfId="148" priority="36">
      <formula>$GF3="x"</formula>
    </cfRule>
  </conditionalFormatting>
  <conditionalFormatting sqref="BA3:BB78">
    <cfRule type="expression" dxfId="147" priority="35">
      <formula>$GH3="x"</formula>
    </cfRule>
  </conditionalFormatting>
  <conditionalFormatting sqref="BC3:BD78">
    <cfRule type="expression" dxfId="146" priority="34">
      <formula>$GJ3="x"</formula>
    </cfRule>
  </conditionalFormatting>
  <conditionalFormatting sqref="BE3:BF78">
    <cfRule type="expression" dxfId="145" priority="33">
      <formula>$GL3="x"</formula>
    </cfRule>
  </conditionalFormatting>
  <conditionalFormatting sqref="BG3:BH78">
    <cfRule type="expression" dxfId="144" priority="32">
      <formula>$GN3="x"</formula>
    </cfRule>
  </conditionalFormatting>
  <conditionalFormatting sqref="BI3:BJ78">
    <cfRule type="expression" dxfId="143" priority="31">
      <formula>$GP3="x"</formula>
    </cfRule>
  </conditionalFormatting>
  <conditionalFormatting sqref="BK3:BL78">
    <cfRule type="expression" dxfId="142" priority="30">
      <formula>$GR3="x"</formula>
    </cfRule>
  </conditionalFormatting>
  <conditionalFormatting sqref="BM3:BN78">
    <cfRule type="expression" dxfId="141" priority="29">
      <formula>$GT3="x"</formula>
    </cfRule>
  </conditionalFormatting>
  <conditionalFormatting sqref="BO3:BP78">
    <cfRule type="expression" dxfId="140" priority="28">
      <formula>$GV3="x"</formula>
    </cfRule>
  </conditionalFormatting>
  <conditionalFormatting sqref="BQ3:BR78">
    <cfRule type="expression" dxfId="139" priority="27">
      <formula>$GX3="x"</formula>
    </cfRule>
  </conditionalFormatting>
  <conditionalFormatting sqref="BS3:BT78">
    <cfRule type="expression" dxfId="138" priority="26">
      <formula>$GZ3="x"</formula>
    </cfRule>
  </conditionalFormatting>
  <conditionalFormatting sqref="BT3:BU78">
    <cfRule type="expression" dxfId="137" priority="25">
      <formula>$HB3="x"</formula>
    </cfRule>
  </conditionalFormatting>
  <conditionalFormatting sqref="AY79:AZ79">
    <cfRule type="expression" dxfId="136" priority="12">
      <formula>$GF79="x"</formula>
    </cfRule>
  </conditionalFormatting>
  <conditionalFormatting sqref="BA79:BB79">
    <cfRule type="expression" dxfId="135" priority="11">
      <formula>$GH79="x"</formula>
    </cfRule>
  </conditionalFormatting>
  <conditionalFormatting sqref="BC79:BD79">
    <cfRule type="expression" dxfId="134" priority="10">
      <formula>$GJ79="x"</formula>
    </cfRule>
  </conditionalFormatting>
  <conditionalFormatting sqref="BE79:BF79">
    <cfRule type="expression" dxfId="133" priority="9">
      <formula>$GL79="x"</formula>
    </cfRule>
  </conditionalFormatting>
  <conditionalFormatting sqref="BG79:BH79">
    <cfRule type="expression" dxfId="132" priority="8">
      <formula>$GN79="x"</formula>
    </cfRule>
  </conditionalFormatting>
  <conditionalFormatting sqref="BI79:BJ79">
    <cfRule type="expression" dxfId="131" priority="7">
      <formula>$GP79="x"</formula>
    </cfRule>
  </conditionalFormatting>
  <conditionalFormatting sqref="BK79:BL79">
    <cfRule type="expression" dxfId="130" priority="6">
      <formula>$GR79="x"</formula>
    </cfRule>
  </conditionalFormatting>
  <conditionalFormatting sqref="BM79:BN79">
    <cfRule type="expression" dxfId="129" priority="5">
      <formula>$GT79="x"</formula>
    </cfRule>
  </conditionalFormatting>
  <conditionalFormatting sqref="BO79:BP79">
    <cfRule type="expression" dxfId="128" priority="4">
      <formula>$GV79="x"</formula>
    </cfRule>
  </conditionalFormatting>
  <conditionalFormatting sqref="BQ79:BR79">
    <cfRule type="expression" dxfId="127" priority="3">
      <formula>$GX79="x"</formula>
    </cfRule>
  </conditionalFormatting>
  <conditionalFormatting sqref="BS79:BT79">
    <cfRule type="expression" dxfId="126" priority="2">
      <formula>$GZ79="x"</formula>
    </cfRule>
  </conditionalFormatting>
  <conditionalFormatting sqref="BT79:BU79">
    <cfRule type="expression" dxfId="125" priority="1">
      <formula>$HB79="x"</formula>
    </cfRule>
  </conditionalFormatting>
  <pageMargins left="0.7" right="0.7" top="0.78740157499999996" bottom="0.78740157499999996"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9D923-FE4A-4B9C-8898-5CD531B62945}">
  <dimension ref="B1:U6"/>
  <sheetViews>
    <sheetView topLeftCell="D1" workbookViewId="0">
      <selection activeCell="U3" sqref="U3"/>
    </sheetView>
  </sheetViews>
  <sheetFormatPr baseColWidth="10" defaultRowHeight="12.75" x14ac:dyDescent="0.2"/>
  <cols>
    <col min="14" max="14" width="11.7109375" customWidth="1"/>
    <col min="17" max="17" width="12" bestFit="1" customWidth="1"/>
    <col min="21" max="21" width="39.28515625" bestFit="1" customWidth="1"/>
  </cols>
  <sheetData>
    <row r="1" spans="2:21" x14ac:dyDescent="0.2">
      <c r="Q1" s="756" t="s">
        <v>925</v>
      </c>
      <c r="R1" s="756"/>
    </row>
    <row r="2" spans="2:21" x14ac:dyDescent="0.2">
      <c r="B2" s="29" t="s">
        <v>349</v>
      </c>
      <c r="D2" s="29" t="s">
        <v>351</v>
      </c>
      <c r="F2" s="29" t="s">
        <v>3</v>
      </c>
      <c r="H2" s="29" t="s">
        <v>4</v>
      </c>
      <c r="J2" s="29" t="s">
        <v>354</v>
      </c>
      <c r="L2" s="29" t="s">
        <v>510</v>
      </c>
      <c r="N2" s="29" t="s">
        <v>921</v>
      </c>
      <c r="O2" s="29" t="s">
        <v>140</v>
      </c>
      <c r="Q2" s="29" t="s">
        <v>918</v>
      </c>
      <c r="R2" s="29" t="s">
        <v>919</v>
      </c>
      <c r="T2" s="29" t="s">
        <v>933</v>
      </c>
      <c r="U2" s="29" t="s">
        <v>934</v>
      </c>
    </row>
    <row r="3" spans="2:21" x14ac:dyDescent="0.2">
      <c r="B3" t="str">
        <f>IF(OR('Ausdruck 1'!F38="Antrag auf Zusatzmittel",'Ausdruck 1'!F38="Verzicht"),"bestätigen","")</f>
        <v/>
      </c>
      <c r="D3" t="str">
        <f>(IF(OR('Ausdruck 1'!F39="Antrag auf Zusatzmittel",'Ausdruck 1'!F39="Verzicht"),"bestätigen",""))</f>
        <v/>
      </c>
      <c r="F3" t="str">
        <f>(IF(OR('Ausdruck 1'!F40="Antrag auf Zusatzmittel",'Ausdruck 1'!F40="Verzicht"),"bestätigen",""))</f>
        <v/>
      </c>
      <c r="H3" t="str">
        <f>(IF(OR('Ausdruck 1'!F41="Antrag auf Zusatzmittel",'Ausdruck 1'!F41="Verzicht"),"bestätigen",""))</f>
        <v/>
      </c>
      <c r="J3" t="str">
        <f>IF(OR('Ausdruck 1'!F45="Antrag auf Zusatzmittel",'Ausdruck 1'!F45="Verzicht"),"bestätigen","")</f>
        <v/>
      </c>
      <c r="L3" t="str">
        <f>IF(OR('Ausdruck 1'!F49="Antrag auf Zusatzmittel",'Ausdruck 1'!F49="Verzicht"),"bestätigen","")</f>
        <v/>
      </c>
      <c r="N3" s="29" t="s">
        <v>920</v>
      </c>
      <c r="O3" s="379">
        <v>44834</v>
      </c>
      <c r="Q3" s="29" t="s">
        <v>922</v>
      </c>
      <c r="R3">
        <v>400</v>
      </c>
      <c r="T3">
        <v>1</v>
      </c>
      <c r="U3" s="579" t="s">
        <v>1051</v>
      </c>
    </row>
    <row r="4" spans="2:21" x14ac:dyDescent="0.2">
      <c r="B4" t="str">
        <f>(IF(OR('Ausdruck 1'!F38="Antrag auf Zusatzmittel",'Ausdruck 1'!F38="Verzicht"),"ablehnen",""))</f>
        <v/>
      </c>
      <c r="D4" t="str">
        <f>(IF(OR('Ausdruck 1'!F39="Antrag auf Zusatzmittel",'Ausdruck 1'!F39="Verzicht"),"ablehnen",""))</f>
        <v/>
      </c>
      <c r="F4" t="str">
        <f>IF(OR('Ausdruck 1'!F40="Antrag auf Zusatzmittel",'Ausdruck 1'!F40="Verzicht"),"ablehnen","")</f>
        <v/>
      </c>
      <c r="H4" t="str">
        <f>(IF(OR('Ausdruck 1'!F41="Antrag auf Zusatzmittel",'Ausdruck 1'!F41="Verzicht"),"ablehnen",""))</f>
        <v/>
      </c>
      <c r="J4" t="str">
        <f>(IF(OR('Ausdruck 1'!F45="Antrag auf Zusatzmittel",'Ausdruck 1'!F45="Verzicht"),"ablehnen",""))</f>
        <v/>
      </c>
      <c r="L4" t="str">
        <f>(IF(OR('Ausdruck 1'!F49="Antrag auf Zusatzmittel",'Ausdruck 1'!F49="Verzicht"),"ablehnen",""))</f>
        <v/>
      </c>
      <c r="Q4" s="29" t="s">
        <v>923</v>
      </c>
      <c r="R4">
        <v>230</v>
      </c>
      <c r="T4">
        <v>2</v>
      </c>
      <c r="U4" s="579" t="s">
        <v>1052</v>
      </c>
    </row>
    <row r="5" spans="2:21" x14ac:dyDescent="0.2">
      <c r="B5" t="str">
        <f>(IF('Ausdruck 1'!F38="","",""))</f>
        <v/>
      </c>
      <c r="D5" t="str">
        <f>(IF('Ausdruck 1'!F39="","",""))</f>
        <v/>
      </c>
      <c r="F5" t="str">
        <f>(IF('Ausdruck 1'!F40="","",""))</f>
        <v/>
      </c>
      <c r="H5" t="str">
        <f>(IF('Ausdruck 1'!F41="","",""))</f>
        <v/>
      </c>
      <c r="J5" t="str">
        <f>(IF('Ausdruck 1'!F45="","",""))</f>
        <v/>
      </c>
      <c r="L5" t="str">
        <f>(IF('Ausdruck 1'!F49="","",""))</f>
        <v/>
      </c>
      <c r="Q5" s="29" t="s">
        <v>383</v>
      </c>
      <c r="R5">
        <v>400</v>
      </c>
      <c r="T5">
        <v>3</v>
      </c>
      <c r="U5" s="579" t="s">
        <v>939</v>
      </c>
    </row>
    <row r="6" spans="2:21" x14ac:dyDescent="0.2">
      <c r="Q6" s="29" t="s">
        <v>924</v>
      </c>
      <c r="R6">
        <v>100</v>
      </c>
    </row>
  </sheetData>
  <sheetProtection algorithmName="SHA-512" hashValue="34n5phobBLnXOnXsMCuZ9VJJ96H4z0CyCyacLZMAsTVjKSktc35mSjzwkXyaU7iDPZtu64zOoyEOOpIb+cS8Wg==" saltValue="CmDvDkD7+Z5Z4NNiOafQGg==" spinCount="100000" sheet="1" objects="1" scenarios="1"/>
  <mergeCells count="1">
    <mergeCell ref="Q1:R1"/>
  </mergeCells>
  <pageMargins left="0.7" right="0.7" top="0.78740157499999996" bottom="0.78740157499999996" header="0.3" footer="0.3"/>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18</vt:i4>
      </vt:variant>
    </vt:vector>
  </HeadingPairs>
  <TitlesOfParts>
    <vt:vector size="28" baseType="lpstr">
      <vt:lpstr>Erklärung</vt:lpstr>
      <vt:lpstr>Dateneingabe Mobilitäten</vt:lpstr>
      <vt:lpstr>Dateneingabe zusätzliche BIPs</vt:lpstr>
      <vt:lpstr>Ausdruck 1</vt:lpstr>
      <vt:lpstr>Ausdruck 2</vt:lpstr>
      <vt:lpstr>Ausdruck 3</vt:lpstr>
      <vt:lpstr>OS</vt:lpstr>
      <vt:lpstr>Daten 2022</vt:lpstr>
      <vt:lpstr>Steuerung</vt:lpstr>
      <vt:lpstr>Zusammenfassung</vt:lpstr>
      <vt:lpstr>'Ausdruck 1'!Druckbereich</vt:lpstr>
      <vt:lpstr>'Ausdruck 2'!Druckbereich</vt:lpstr>
      <vt:lpstr>'Ausdruck 3'!Druckbereich</vt:lpstr>
      <vt:lpstr>'Dateneingabe Mobilitäten'!Druckbereich</vt:lpstr>
      <vt:lpstr>'Ausdruck 2'!E_Code</vt:lpstr>
      <vt:lpstr>E_Code</vt:lpstr>
      <vt:lpstr>'Ausdruck 2'!n_BIP</vt:lpstr>
      <vt:lpstr>n_BIP</vt:lpstr>
      <vt:lpstr>'Ausdruck 2'!n_OS</vt:lpstr>
      <vt:lpstr>n_OS</vt:lpstr>
      <vt:lpstr>'Ausdruck 2'!n_SMS</vt:lpstr>
      <vt:lpstr>n_SMS</vt:lpstr>
      <vt:lpstr>'Ausdruck 2'!n_SMT</vt:lpstr>
      <vt:lpstr>n_SMT</vt:lpstr>
      <vt:lpstr>'Ausdruck 2'!n_STA</vt:lpstr>
      <vt:lpstr>n_STA</vt:lpstr>
      <vt:lpstr>'Ausdruck 2'!n_STT</vt:lpstr>
      <vt:lpstr>n_STT</vt:lpstr>
    </vt:vector>
  </TitlesOfParts>
  <Company>OEAD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Erasmus+ Zwischenbericht HB</dc:title>
  <dc:creator>Elmar Harringer</dc:creator>
  <cp:lastModifiedBy>Harringer, Elmar</cp:lastModifiedBy>
  <cp:lastPrinted>2022-09-13T07:09:06Z</cp:lastPrinted>
  <dcterms:created xsi:type="dcterms:W3CDTF">2009-09-25T11:55:55Z</dcterms:created>
  <dcterms:modified xsi:type="dcterms:W3CDTF">2022-10-14T09:05:14Z</dcterms:modified>
</cp:coreProperties>
</file>