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DieseArbeitsmappe" defaultThemeVersion="124226"/>
  <mc:AlternateContent xmlns:mc="http://schemas.openxmlformats.org/markup-compatibility/2006">
    <mc:Choice Requires="x15">
      <x15ac:absPath xmlns:x15ac="http://schemas.microsoft.com/office/spreadsheetml/2010/11/ac" url="Z:\09-HOCHSCHULBILDUNG (Verknüpfung)\20-KA1-Mobilität\KA 131\03 Call 2023\07 Berichte\Zwischenberichte\ZB1\Formular\"/>
    </mc:Choice>
  </mc:AlternateContent>
  <xr:revisionPtr revIDLastSave="0" documentId="13_ncr:1_{AC700B08-D2ED-4748-8F22-FB00A3CDD7E0}" xr6:coauthVersionLast="47" xr6:coauthVersionMax="47" xr10:uidLastSave="{00000000-0000-0000-0000-000000000000}"/>
  <workbookProtection workbookAlgorithmName="SHA-512" workbookHashValue="ZUpdHT+6Q7yiGmPZTIPo6E6QrmcQLvhBmeTVPTepNPlHZby9VQusNVFz4YghC/3+1krPANQZHtTbnXWApt1JGg==" workbookSaltValue="HH/JfxoBUN56BdrsdAoDJQ==" workbookSpinCount="100000" lockStructure="1"/>
  <bookViews>
    <workbookView xWindow="28680" yWindow="-375" windowWidth="29040" windowHeight="15840" tabRatio="679" xr2:uid="{E2E10166-A235-4149-AB77-00DD1951060B}"/>
  </bookViews>
  <sheets>
    <sheet name="Erklärung" sheetId="12" r:id="rId1"/>
    <sheet name="Dateneingabe Mobilitäten" sheetId="7" r:id="rId2"/>
    <sheet name="Dateneingabe zusätzliche BIPs" sheetId="15" state="hidden" r:id="rId3"/>
    <sheet name="Ausdruck 1" sheetId="1" r:id="rId4"/>
    <sheet name="Ausdruck 2" sheetId="14" r:id="rId5"/>
    <sheet name="Ausdruck 3" sheetId="16" r:id="rId6"/>
    <sheet name="OS" sheetId="8" state="hidden" r:id="rId7"/>
    <sheet name="Daten" sheetId="6" state="hidden" r:id="rId8"/>
    <sheet name="Steuerung" sheetId="9" state="hidden" r:id="rId9"/>
    <sheet name="Zusammenfassung" sheetId="13" state="hidden" r:id="rId10"/>
  </sheets>
  <definedNames>
    <definedName name="_xlnm._FilterDatabase" localSheetId="7" hidden="1">Daten!$A:$BL</definedName>
    <definedName name="_xlnm.Print_Area" localSheetId="3">'Ausdruck 1'!$B$2:$P$96</definedName>
    <definedName name="_xlnm.Print_Area" localSheetId="4">'Ausdruck 2'!$B$1:$AD$99</definedName>
    <definedName name="_xlnm.Print_Area" localSheetId="5">'Ausdruck 3'!$B$1:$L$82</definedName>
    <definedName name="_xlnm.Print_Area" localSheetId="1">'Dateneingabe Mobilitäten'!$C$1:$AF$94</definedName>
    <definedName name="E_Code" localSheetId="4">Daten[Erasmus Code]</definedName>
    <definedName name="E_Code">Daten[Erasmus Code]</definedName>
    <definedName name="n_BIP" localSheetId="4">t_BIP[BIP]</definedName>
    <definedName name="n_BIP">t_BIP[BIP]</definedName>
    <definedName name="n_OS" localSheetId="4">t_OS[OS]</definedName>
    <definedName name="n_OS">t_OS[OS]</definedName>
    <definedName name="n_SMS" localSheetId="4">t_SMS[SMS]</definedName>
    <definedName name="n_SMS">t_SMS[SMS]</definedName>
    <definedName name="n_SMT" localSheetId="4">t_SMT[SMT]</definedName>
    <definedName name="n_SMT">t_SMT[SMT]</definedName>
    <definedName name="n_STA" localSheetId="4">t_STA[STA]</definedName>
    <definedName name="n_STA">t_STA[STA]</definedName>
    <definedName name="n_STT" localSheetId="4">t_STT[STT]</definedName>
    <definedName name="n_STT" localSheetId="5">#REF!</definedName>
    <definedName name="n_STT">t_STT[STT]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6" l="1"/>
  <c r="GL2" i="13"/>
  <c r="GR2" i="13"/>
  <c r="GQ2" i="13"/>
  <c r="GP2" i="13"/>
  <c r="GF2" i="13"/>
  <c r="GC2" i="13"/>
  <c r="DB2" i="13"/>
  <c r="H51" i="14"/>
  <c r="H50" i="14"/>
  <c r="I112" i="7"/>
  <c r="I111" i="7"/>
  <c r="K19" i="16"/>
  <c r="M23" i="1" l="1"/>
  <c r="B2" i="16"/>
  <c r="CQ2" i="13"/>
  <c r="CP2" i="13"/>
  <c r="CO2" i="13"/>
  <c r="CN2" i="13"/>
  <c r="L51" i="16"/>
  <c r="B5" i="14"/>
  <c r="B3" i="1"/>
  <c r="B5" i="12"/>
  <c r="N39" i="16"/>
  <c r="N38" i="16"/>
  <c r="L39" i="16"/>
  <c r="L38" i="16"/>
  <c r="GB2" i="13" s="1"/>
  <c r="B94" i="1" l="1"/>
  <c r="B88" i="1"/>
  <c r="B83" i="1"/>
  <c r="AE102" i="7"/>
  <c r="AE97" i="7"/>
  <c r="K20" i="16"/>
  <c r="T47" i="7"/>
  <c r="U87" i="14"/>
  <c r="U88" i="14" s="1"/>
  <c r="T87" i="14"/>
  <c r="T88" i="14" s="1"/>
  <c r="S87" i="14"/>
  <c r="S88" i="14" s="1"/>
  <c r="Q87" i="14"/>
  <c r="O87" i="14"/>
  <c r="O88" i="14" s="1"/>
  <c r="M87" i="14"/>
  <c r="M88" i="14" s="1"/>
  <c r="G44" i="14"/>
  <c r="G43" i="14"/>
  <c r="F44" i="14"/>
  <c r="F43" i="14"/>
  <c r="AA44" i="14"/>
  <c r="W44" i="14"/>
  <c r="V44" i="14"/>
  <c r="R44" i="14"/>
  <c r="P44" i="14"/>
  <c r="N44" i="14"/>
  <c r="L44" i="14"/>
  <c r="F41" i="14"/>
  <c r="F40" i="14"/>
  <c r="H84" i="7"/>
  <c r="G84" i="7"/>
  <c r="H80" i="7"/>
  <c r="G80" i="7"/>
  <c r="H76" i="7"/>
  <c r="G76" i="7"/>
  <c r="H72" i="7"/>
  <c r="G72" i="7"/>
  <c r="G68" i="7"/>
  <c r="H68" i="7"/>
  <c r="H64" i="7"/>
  <c r="G64" i="7"/>
  <c r="O92" i="7"/>
  <c r="O93" i="7" s="1"/>
  <c r="EW2" i="13" s="1"/>
  <c r="Q92" i="7"/>
  <c r="Q93" i="7" s="1"/>
  <c r="EY2" i="13" s="1"/>
  <c r="Y93" i="7"/>
  <c r="FG2" i="13" s="1"/>
  <c r="W92" i="7"/>
  <c r="W93" i="7" s="1"/>
  <c r="FE2" i="13" s="1"/>
  <c r="V92" i="7"/>
  <c r="V93" i="7" s="1"/>
  <c r="FD2" i="13" s="1"/>
  <c r="U93" i="7"/>
  <c r="FC2" i="13" s="1"/>
  <c r="S93" i="7"/>
  <c r="FA2" i="13" s="1"/>
  <c r="N38" i="7"/>
  <c r="P38" i="7"/>
  <c r="T38" i="7"/>
  <c r="R38" i="7"/>
  <c r="I37" i="7"/>
  <c r="I38" i="7"/>
  <c r="U37" i="7" s="1"/>
  <c r="H41" i="7"/>
  <c r="G41" i="7"/>
  <c r="H40" i="7"/>
  <c r="G40" i="7"/>
  <c r="G54" i="7" s="1"/>
  <c r="X56" i="7"/>
  <c r="DV2" i="13" s="1"/>
  <c r="W52" i="7"/>
  <c r="DL2" i="13" s="1"/>
  <c r="H91" i="7"/>
  <c r="G86" i="14" s="1"/>
  <c r="G91" i="7"/>
  <c r="F86" i="14" s="1"/>
  <c r="X92" i="7"/>
  <c r="X93" i="7" s="1"/>
  <c r="FF2" i="13" s="1"/>
  <c r="T92" i="7"/>
  <c r="T93" i="7" s="1"/>
  <c r="FB2" i="13" s="1"/>
  <c r="R92" i="7"/>
  <c r="R93" i="7" s="1"/>
  <c r="EZ2" i="13" s="1"/>
  <c r="P92" i="7"/>
  <c r="P93" i="7" s="1"/>
  <c r="EX2" i="13" s="1"/>
  <c r="N92" i="7"/>
  <c r="N93" i="7" s="1"/>
  <c r="AA52" i="7"/>
  <c r="DN2" i="13" s="1"/>
  <c r="R47" i="7"/>
  <c r="DG2" i="13" s="1"/>
  <c r="P47" i="7"/>
  <c r="DE2" i="13" s="1"/>
  <c r="N47" i="7"/>
  <c r="AA27" i="7"/>
  <c r="CK2" i="13" s="1"/>
  <c r="AA22" i="7"/>
  <c r="BO2" i="13" s="1"/>
  <c r="Y22" i="7"/>
  <c r="BM2" i="13" s="1"/>
  <c r="AA12" i="7"/>
  <c r="Y12" i="7"/>
  <c r="AQ2" i="13" s="1"/>
  <c r="AA7" i="7"/>
  <c r="Y7" i="7"/>
  <c r="U2" i="13" s="1"/>
  <c r="EV2" i="13" l="1"/>
  <c r="Y96" i="14"/>
  <c r="H73" i="7"/>
  <c r="G77" i="7"/>
  <c r="G65" i="7"/>
  <c r="H85" i="7"/>
  <c r="G73" i="7"/>
  <c r="H77" i="7"/>
  <c r="H65" i="7"/>
  <c r="H81" i="7"/>
  <c r="G81" i="7"/>
  <c r="DI2" i="13"/>
  <c r="DC2" i="13"/>
  <c r="H69" i="7"/>
  <c r="G69" i="7"/>
  <c r="G54" i="14"/>
  <c r="G85" i="7"/>
  <c r="E29" i="16"/>
  <c r="Y27" i="7"/>
  <c r="F65" i="14"/>
  <c r="F73" i="14"/>
  <c r="G73" i="14"/>
  <c r="F81" i="14"/>
  <c r="F61" i="14"/>
  <c r="F77" i="14"/>
  <c r="G61" i="14"/>
  <c r="G77" i="14"/>
  <c r="G65" i="14"/>
  <c r="G81" i="14"/>
  <c r="Y88" i="14"/>
  <c r="F69" i="14"/>
  <c r="G69" i="14"/>
  <c r="I35" i="1"/>
  <c r="H86" i="14"/>
  <c r="W87" i="14"/>
  <c r="Q88" i="14"/>
  <c r="H44" i="14"/>
  <c r="H43" i="14"/>
  <c r="G92" i="7"/>
  <c r="F87" i="14" s="1"/>
  <c r="H92" i="7"/>
  <c r="G87" i="14" s="1"/>
  <c r="I40" i="7"/>
  <c r="Z7" i="7"/>
  <c r="Z22" i="7"/>
  <c r="Z27" i="7"/>
  <c r="O15" i="7"/>
  <c r="Z12" i="7"/>
  <c r="Z38" i="7"/>
  <c r="U30" i="7"/>
  <c r="Z47" i="7"/>
  <c r="AH103" i="7" s="1"/>
  <c r="R23" i="1" s="1"/>
  <c r="Z56" i="7"/>
  <c r="AA15" i="7"/>
  <c r="Y15" i="7"/>
  <c r="AA30" i="7"/>
  <c r="I9" i="7"/>
  <c r="G16" i="1" s="1"/>
  <c r="AH45" i="7" l="1"/>
  <c r="I23" i="1"/>
  <c r="V2" i="13"/>
  <c r="Y30" i="7"/>
  <c r="CI2" i="13"/>
  <c r="DM2" i="13"/>
  <c r="H93" i="7"/>
  <c r="G88" i="14" s="1"/>
  <c r="G93" i="7"/>
  <c r="F88" i="14" s="1"/>
  <c r="H87" i="14"/>
  <c r="W88" i="14"/>
  <c r="J6" i="12"/>
  <c r="M2" i="1" s="1"/>
  <c r="H95" i="14"/>
  <c r="H88" i="14" l="1"/>
  <c r="F29" i="16"/>
  <c r="AI80" i="6"/>
  <c r="F54" i="14" l="1"/>
  <c r="C99" i="14"/>
  <c r="D27" i="15"/>
  <c r="D29" i="15"/>
  <c r="FU2" i="13" s="1"/>
  <c r="EU2" i="13"/>
  <c r="ET2" i="13"/>
  <c r="ES2" i="13"/>
  <c r="ER2" i="13"/>
  <c r="EK2" i="13"/>
  <c r="EJ2" i="13"/>
  <c r="EC2" i="13"/>
  <c r="EG2" i="13"/>
  <c r="EF2" i="13"/>
  <c r="EB2" i="13"/>
  <c r="A47" i="15"/>
  <c r="B80" i="1"/>
  <c r="B82" i="16"/>
  <c r="I34" i="16"/>
  <c r="I8" i="16"/>
  <c r="N42" i="16"/>
  <c r="N41" i="16"/>
  <c r="N40" i="16"/>
  <c r="N43" i="16" l="1"/>
  <c r="N34" i="16" l="1"/>
  <c r="L42" i="16"/>
  <c r="L41" i="16"/>
  <c r="L40" i="16"/>
  <c r="L36" i="16"/>
  <c r="T81" i="14"/>
  <c r="T82" i="14" s="1"/>
  <c r="U81" i="14"/>
  <c r="U82" i="14" s="1"/>
  <c r="T77" i="14"/>
  <c r="T78" i="14" s="1"/>
  <c r="U77" i="14"/>
  <c r="U78" i="14" s="1"/>
  <c r="T73" i="14"/>
  <c r="T74" i="14" s="1"/>
  <c r="U73" i="14"/>
  <c r="U74" i="14" s="1"/>
  <c r="T69" i="14"/>
  <c r="T70" i="14" s="1"/>
  <c r="U69" i="14"/>
  <c r="U70" i="14" s="1"/>
  <c r="T65" i="14"/>
  <c r="T66" i="14" s="1"/>
  <c r="U65" i="14"/>
  <c r="U66" i="14" s="1"/>
  <c r="T61" i="14"/>
  <c r="T62" i="14" s="1"/>
  <c r="U61" i="14"/>
  <c r="U62" i="14" s="1"/>
  <c r="T49" i="14"/>
  <c r="T52" i="14" s="1"/>
  <c r="U32" i="14"/>
  <c r="U33" i="14" s="1"/>
  <c r="T32" i="14"/>
  <c r="T33" i="14" s="1"/>
  <c r="U27" i="14"/>
  <c r="U28" i="14" s="1"/>
  <c r="T27" i="14"/>
  <c r="T28" i="14" s="1"/>
  <c r="U17" i="14"/>
  <c r="U18" i="14" s="1"/>
  <c r="T17" i="14"/>
  <c r="T18" i="14" s="1"/>
  <c r="T12" i="14"/>
  <c r="T13" i="14" s="1"/>
  <c r="U12" i="14"/>
  <c r="U13" i="14" s="1"/>
  <c r="AC6" i="14"/>
  <c r="G82" i="14"/>
  <c r="F82" i="14"/>
  <c r="S81" i="14"/>
  <c r="Q81" i="14"/>
  <c r="O81" i="14"/>
  <c r="O82" i="14" s="1"/>
  <c r="M81" i="14"/>
  <c r="G80" i="14"/>
  <c r="F80" i="14"/>
  <c r="I54" i="7"/>
  <c r="B28" i="8"/>
  <c r="B27" i="8"/>
  <c r="H89" i="7"/>
  <c r="G89" i="7"/>
  <c r="W88" i="7"/>
  <c r="V88" i="7"/>
  <c r="U88" i="7"/>
  <c r="S88" i="7"/>
  <c r="Q88" i="7"/>
  <c r="O88" i="7"/>
  <c r="T56" i="7"/>
  <c r="R56" i="7"/>
  <c r="P56" i="7"/>
  <c r="N56" i="7"/>
  <c r="F35" i="7"/>
  <c r="X41" i="14" s="1"/>
  <c r="F34" i="7"/>
  <c r="F40" i="7" s="1"/>
  <c r="W7" i="7"/>
  <c r="W12" i="7"/>
  <c r="W22" i="7"/>
  <c r="W27" i="7"/>
  <c r="H87" i="7"/>
  <c r="H88" i="7"/>
  <c r="G88" i="7"/>
  <c r="G87" i="7"/>
  <c r="F46" i="7"/>
  <c r="F45" i="7"/>
  <c r="F55" i="7"/>
  <c r="F54" i="7"/>
  <c r="F85" i="7"/>
  <c r="F81" i="7"/>
  <c r="F77" i="7"/>
  <c r="F73" i="7"/>
  <c r="F69" i="7"/>
  <c r="F83" i="7"/>
  <c r="F79" i="7"/>
  <c r="F80" i="7" s="1"/>
  <c r="F75" i="7"/>
  <c r="F76" i="7" s="1"/>
  <c r="F71" i="7"/>
  <c r="F72" i="7" s="1"/>
  <c r="F67" i="7"/>
  <c r="F68" i="7" s="1"/>
  <c r="I85" i="7"/>
  <c r="M34" i="1" s="1"/>
  <c r="I84" i="7"/>
  <c r="I83" i="7"/>
  <c r="G34" i="1" s="1"/>
  <c r="I81" i="7"/>
  <c r="I80" i="7"/>
  <c r="I79" i="7"/>
  <c r="G33" i="1" s="1"/>
  <c r="I77" i="7"/>
  <c r="I76" i="7"/>
  <c r="I75" i="7"/>
  <c r="G32" i="1" s="1"/>
  <c r="I73" i="7"/>
  <c r="I72" i="7"/>
  <c r="I71" i="7"/>
  <c r="G31" i="1" s="1"/>
  <c r="I69" i="7"/>
  <c r="I68" i="7"/>
  <c r="I67" i="7"/>
  <c r="G30" i="1" s="1"/>
  <c r="I64" i="7"/>
  <c r="Y95" i="14" l="1"/>
  <c r="M51" i="7"/>
  <c r="I52" i="7"/>
  <c r="CG2" i="13"/>
  <c r="R55" i="14"/>
  <c r="BK2" i="13"/>
  <c r="T55" i="14"/>
  <c r="AO2" i="13"/>
  <c r="P55" i="14"/>
  <c r="AB47" i="7"/>
  <c r="AC47" i="7" s="1"/>
  <c r="N55" i="14"/>
  <c r="I26" i="1"/>
  <c r="Y56" i="14"/>
  <c r="H54" i="14"/>
  <c r="G26" i="1"/>
  <c r="K71" i="7"/>
  <c r="K79" i="7"/>
  <c r="K75" i="7"/>
  <c r="K67" i="7"/>
  <c r="K83" i="7"/>
  <c r="I56" i="7"/>
  <c r="F41" i="7"/>
  <c r="AB56" i="7"/>
  <c r="S36" i="14"/>
  <c r="I92" i="7"/>
  <c r="F28" i="16"/>
  <c r="F111" i="7"/>
  <c r="X94" i="14" s="1"/>
  <c r="F84" i="7"/>
  <c r="E28" i="16"/>
  <c r="K28" i="16"/>
  <c r="F112" i="7"/>
  <c r="X95" i="14" s="1"/>
  <c r="U21" i="14"/>
  <c r="T21" i="14"/>
  <c r="J28" i="16"/>
  <c r="S82" i="14"/>
  <c r="Q82" i="14"/>
  <c r="W15" i="7"/>
  <c r="S2" i="13"/>
  <c r="DW2" i="13"/>
  <c r="W55" i="14"/>
  <c r="O38" i="16"/>
  <c r="O42" i="16"/>
  <c r="O41" i="16"/>
  <c r="O40" i="16"/>
  <c r="O39" i="16"/>
  <c r="X80" i="14"/>
  <c r="D34" i="1"/>
  <c r="E34" i="1"/>
  <c r="L34" i="1" s="1"/>
  <c r="X82" i="14"/>
  <c r="W81" i="14"/>
  <c r="H82" i="14"/>
  <c r="H80" i="14"/>
  <c r="M82" i="14"/>
  <c r="W89" i="7"/>
  <c r="W30" i="7"/>
  <c r="U36" i="14" s="1"/>
  <c r="I88" i="7"/>
  <c r="I89" i="7"/>
  <c r="F80" i="16"/>
  <c r="B80" i="16"/>
  <c r="G78" i="16"/>
  <c r="F78" i="16"/>
  <c r="Z56" i="14" l="1"/>
  <c r="Z95" i="14"/>
  <c r="G50" i="7"/>
  <c r="H52" i="14"/>
  <c r="AD45" i="7"/>
  <c r="AB94" i="14" s="1"/>
  <c r="H34" i="1"/>
  <c r="J82" i="14"/>
  <c r="K81" i="14" s="1"/>
  <c r="W82" i="14"/>
  <c r="V89" i="7"/>
  <c r="U89" i="7"/>
  <c r="S89" i="7"/>
  <c r="Q89" i="7"/>
  <c r="O89" i="7"/>
  <c r="Z88" i="7"/>
  <c r="I87" i="7"/>
  <c r="AA82" i="14" l="1"/>
  <c r="V27" i="7" l="1"/>
  <c r="V22" i="7"/>
  <c r="W41" i="14"/>
  <c r="X38" i="7"/>
  <c r="Y93" i="14" s="1"/>
  <c r="V52" i="7"/>
  <c r="BJ2" i="13" l="1"/>
  <c r="DK2" i="13"/>
  <c r="CF2" i="13"/>
  <c r="AB37" i="7"/>
  <c r="Y44" i="14"/>
  <c r="I21" i="1"/>
  <c r="CS2" i="13"/>
  <c r="N41" i="14"/>
  <c r="CU2" i="13"/>
  <c r="R41" i="14"/>
  <c r="CW2" i="13"/>
  <c r="CT2" i="13"/>
  <c r="P41" i="14"/>
  <c r="CR2" i="13"/>
  <c r="L41" i="14"/>
  <c r="CV2" i="13"/>
  <c r="V41" i="14"/>
  <c r="V30" i="7"/>
  <c r="T36" i="14" s="1"/>
  <c r="V12" i="7"/>
  <c r="V7" i="7"/>
  <c r="S80" i="6"/>
  <c r="P80" i="6"/>
  <c r="M80" i="6"/>
  <c r="J80" i="6"/>
  <c r="Z44" i="14" l="1"/>
  <c r="Z93" i="14"/>
  <c r="AN2" i="13"/>
  <c r="AC37" i="7"/>
  <c r="R2" i="13"/>
  <c r="V15" i="7"/>
  <c r="E2" i="15"/>
  <c r="GE2" i="13"/>
  <c r="GD2" i="13"/>
  <c r="GO2" i="13"/>
  <c r="GN2" i="13"/>
  <c r="GM2" i="13"/>
  <c r="B27" i="15"/>
  <c r="C7" i="15"/>
  <c r="C8" i="15"/>
  <c r="C9" i="15"/>
  <c r="C10" i="15"/>
  <c r="C11" i="15"/>
  <c r="C12" i="15"/>
  <c r="C13" i="15"/>
  <c r="C14" i="15"/>
  <c r="C15" i="15"/>
  <c r="C16" i="15"/>
  <c r="C17" i="15"/>
  <c r="C18" i="15"/>
  <c r="C19" i="15"/>
  <c r="C20" i="15"/>
  <c r="C21" i="15"/>
  <c r="C22" i="15"/>
  <c r="C23" i="15"/>
  <c r="C24" i="15"/>
  <c r="C25" i="15"/>
  <c r="C26" i="15"/>
  <c r="F6" i="16"/>
  <c r="F5" i="16"/>
  <c r="F4" i="16"/>
  <c r="L3" i="16"/>
  <c r="GG2" i="13"/>
  <c r="K43" i="16"/>
  <c r="AH37" i="7" l="1"/>
  <c r="R21" i="1" s="1"/>
  <c r="AD37" i="7"/>
  <c r="AB43" i="14" s="1"/>
  <c r="AE37" i="7"/>
  <c r="C27" i="15"/>
  <c r="L43" i="16"/>
  <c r="L53" i="16" l="1"/>
  <c r="B7" i="15"/>
  <c r="B8" i="15"/>
  <c r="B9" i="15"/>
  <c r="B10" i="15"/>
  <c r="B11" i="15"/>
  <c r="B12" i="15"/>
  <c r="B13" i="15"/>
  <c r="B14" i="15"/>
  <c r="B15" i="15"/>
  <c r="B16" i="15"/>
  <c r="B17" i="15"/>
  <c r="B18" i="15"/>
  <c r="B19" i="15"/>
  <c r="B20" i="15"/>
  <c r="B21" i="15"/>
  <c r="B22" i="15"/>
  <c r="B23" i="15"/>
  <c r="B24" i="15"/>
  <c r="B25" i="15"/>
  <c r="B26" i="15"/>
  <c r="E9" i="15"/>
  <c r="E10" i="15"/>
  <c r="E11" i="15"/>
  <c r="E12" i="15"/>
  <c r="E13" i="15"/>
  <c r="E14" i="15"/>
  <c r="E15" i="15"/>
  <c r="E16" i="15"/>
  <c r="E17" i="15"/>
  <c r="E18" i="15"/>
  <c r="E19" i="15"/>
  <c r="E20" i="15"/>
  <c r="E21" i="15"/>
  <c r="E22" i="15"/>
  <c r="E23" i="15"/>
  <c r="E24" i="15"/>
  <c r="E8" i="15"/>
  <c r="E25" i="15"/>
  <c r="E26" i="15"/>
  <c r="E7" i="15"/>
  <c r="D3" i="15"/>
  <c r="N48" i="16" l="1"/>
  <c r="N51" i="16"/>
  <c r="O48" i="16"/>
  <c r="O51" i="16"/>
  <c r="GH2" i="13"/>
  <c r="E27" i="15"/>
  <c r="M52" i="1" s="1"/>
  <c r="M54" i="1" l="1"/>
  <c r="F65" i="7"/>
  <c r="F93" i="7" s="1"/>
  <c r="F63" i="7"/>
  <c r="F91" i="7" s="1"/>
  <c r="F27" i="7"/>
  <c r="F24" i="7"/>
  <c r="F22" i="7"/>
  <c r="F19" i="7"/>
  <c r="F12" i="7"/>
  <c r="F9" i="7"/>
  <c r="F7" i="7"/>
  <c r="F4" i="7"/>
  <c r="C8" i="14"/>
  <c r="M26" i="1"/>
  <c r="S77" i="14"/>
  <c r="Q77" i="14"/>
  <c r="Q78" i="14" s="1"/>
  <c r="O77" i="14"/>
  <c r="O78" i="14" s="1"/>
  <c r="M77" i="14"/>
  <c r="S73" i="14"/>
  <c r="S74" i="14" s="1"/>
  <c r="Q73" i="14"/>
  <c r="Q74" i="14" s="1"/>
  <c r="O73" i="14"/>
  <c r="O74" i="14" s="1"/>
  <c r="M73" i="14"/>
  <c r="S69" i="14"/>
  <c r="S70" i="14" s="1"/>
  <c r="Q69" i="14"/>
  <c r="Q70" i="14" s="1"/>
  <c r="O69" i="14"/>
  <c r="O70" i="14" s="1"/>
  <c r="M69" i="14"/>
  <c r="S65" i="14"/>
  <c r="S66" i="14" s="1"/>
  <c r="Q65" i="14"/>
  <c r="O65" i="14"/>
  <c r="O66" i="14" s="1"/>
  <c r="M65" i="14"/>
  <c r="S61" i="14"/>
  <c r="Q61" i="14"/>
  <c r="O61" i="14"/>
  <c r="M61" i="14"/>
  <c r="M49" i="14"/>
  <c r="O49" i="14"/>
  <c r="O52" i="14" s="1"/>
  <c r="S49" i="14"/>
  <c r="S52" i="14" s="1"/>
  <c r="Q49" i="14"/>
  <c r="V28" i="14" s="1"/>
  <c r="Q32" i="14"/>
  <c r="Q33" i="14" s="1"/>
  <c r="O32" i="14"/>
  <c r="R18" i="14" s="1"/>
  <c r="M32" i="14"/>
  <c r="R13" i="14" s="1"/>
  <c r="S27" i="14"/>
  <c r="S28" i="14" s="1"/>
  <c r="O27" i="14"/>
  <c r="M27" i="14"/>
  <c r="P13" i="14" s="1"/>
  <c r="S17" i="14"/>
  <c r="S18" i="14" s="1"/>
  <c r="Q17" i="14"/>
  <c r="N28" i="14" s="1"/>
  <c r="M17" i="14"/>
  <c r="M18" i="14" s="1"/>
  <c r="S12" i="14"/>
  <c r="L33" i="14" s="1"/>
  <c r="Q12" i="14"/>
  <c r="Q13" i="14" s="1"/>
  <c r="O12" i="14"/>
  <c r="O13" i="14" s="1"/>
  <c r="G78" i="14"/>
  <c r="F78" i="14"/>
  <c r="G76" i="14"/>
  <c r="F76" i="14"/>
  <c r="G74" i="14"/>
  <c r="F74" i="14"/>
  <c r="G72" i="14"/>
  <c r="F72" i="14"/>
  <c r="G70" i="14"/>
  <c r="F70" i="14"/>
  <c r="G68" i="14"/>
  <c r="F68" i="14"/>
  <c r="G66" i="14"/>
  <c r="F66" i="14"/>
  <c r="G64" i="14"/>
  <c r="F64" i="14"/>
  <c r="G62" i="14"/>
  <c r="F62" i="14"/>
  <c r="G60" i="14"/>
  <c r="F60" i="14"/>
  <c r="H56" i="14"/>
  <c r="H40" i="14"/>
  <c r="G33" i="14"/>
  <c r="F33" i="14"/>
  <c r="G32" i="14"/>
  <c r="F32" i="14"/>
  <c r="G31" i="14"/>
  <c r="F31" i="14"/>
  <c r="G30" i="14"/>
  <c r="F30" i="14"/>
  <c r="G28" i="14"/>
  <c r="F28" i="14"/>
  <c r="G27" i="14"/>
  <c r="F27" i="14"/>
  <c r="G26" i="14"/>
  <c r="F26" i="14"/>
  <c r="G25" i="14"/>
  <c r="F25" i="14"/>
  <c r="G18" i="14"/>
  <c r="F18" i="14"/>
  <c r="G17" i="14"/>
  <c r="F17" i="14"/>
  <c r="G16" i="14"/>
  <c r="F16" i="14"/>
  <c r="G15" i="14"/>
  <c r="F15" i="14"/>
  <c r="F11" i="14"/>
  <c r="G11" i="14"/>
  <c r="F12" i="14"/>
  <c r="G12" i="14"/>
  <c r="F13" i="14"/>
  <c r="G13" i="14"/>
  <c r="G10" i="14"/>
  <c r="F10" i="14"/>
  <c r="W20" i="1"/>
  <c r="W28" i="1"/>
  <c r="W36" i="1"/>
  <c r="W37" i="1"/>
  <c r="GK2" i="13"/>
  <c r="GJ2" i="13"/>
  <c r="EQ2" i="13"/>
  <c r="EP2" i="13"/>
  <c r="EO2" i="13"/>
  <c r="EN2" i="13"/>
  <c r="EM2" i="13"/>
  <c r="EL2" i="13"/>
  <c r="EI2" i="13"/>
  <c r="EH2" i="13"/>
  <c r="EE2" i="13"/>
  <c r="ED2" i="13"/>
  <c r="EA2" i="13"/>
  <c r="DZ2" i="13"/>
  <c r="DY2" i="13"/>
  <c r="DX2" i="13"/>
  <c r="DJ2" i="13"/>
  <c r="DA2" i="13"/>
  <c r="CM2" i="13"/>
  <c r="CL2" i="13"/>
  <c r="CE2" i="13"/>
  <c r="CD2" i="13"/>
  <c r="BW2" i="13"/>
  <c r="BV2" i="13"/>
  <c r="BU2" i="13"/>
  <c r="BT2" i="13"/>
  <c r="BS2" i="13"/>
  <c r="BR2" i="13"/>
  <c r="BQ2" i="13"/>
  <c r="BP2" i="13"/>
  <c r="BG2" i="13"/>
  <c r="BF2" i="13"/>
  <c r="BA2" i="13"/>
  <c r="AZ2" i="13"/>
  <c r="AY2" i="13"/>
  <c r="AX2" i="13"/>
  <c r="AW2" i="13"/>
  <c r="AV2" i="13"/>
  <c r="AU2" i="13"/>
  <c r="AT2" i="13"/>
  <c r="AI2" i="13"/>
  <c r="AH2" i="13"/>
  <c r="AE2" i="13"/>
  <c r="AD2" i="13"/>
  <c r="AC2" i="13"/>
  <c r="AB2" i="13"/>
  <c r="AA2" i="13"/>
  <c r="Z2" i="13"/>
  <c r="Y2" i="13"/>
  <c r="X2" i="13"/>
  <c r="K2" i="13"/>
  <c r="J2" i="13"/>
  <c r="I2" i="13"/>
  <c r="H2" i="13"/>
  <c r="G2" i="13"/>
  <c r="F2" i="13"/>
  <c r="E2" i="13"/>
  <c r="D2" i="13"/>
  <c r="C2" i="13"/>
  <c r="B2" i="13"/>
  <c r="A2" i="13"/>
  <c r="F109" i="7" l="1"/>
  <c r="X92" i="14" s="1"/>
  <c r="X88" i="14"/>
  <c r="J88" i="14" s="1"/>
  <c r="K87" i="14" s="1"/>
  <c r="E35" i="1"/>
  <c r="F113" i="7"/>
  <c r="X86" i="14"/>
  <c r="D35" i="1"/>
  <c r="AB91" i="7"/>
  <c r="W13" i="14"/>
  <c r="S62" i="14"/>
  <c r="W33" i="14"/>
  <c r="O62" i="14"/>
  <c r="W18" i="14"/>
  <c r="Q62" i="14"/>
  <c r="W28" i="14"/>
  <c r="V13" i="14"/>
  <c r="V49" i="14"/>
  <c r="L95" i="14"/>
  <c r="H41" i="14"/>
  <c r="F87" i="7"/>
  <c r="K87" i="7" s="1"/>
  <c r="F89" i="7"/>
  <c r="M66" i="14"/>
  <c r="W65" i="14"/>
  <c r="W73" i="14"/>
  <c r="M62" i="14"/>
  <c r="W61" i="14"/>
  <c r="M70" i="14"/>
  <c r="W69" i="14"/>
  <c r="M78" i="14"/>
  <c r="W77" i="14"/>
  <c r="K49" i="14"/>
  <c r="K55" i="14"/>
  <c r="F64" i="7"/>
  <c r="N63" i="7" s="1"/>
  <c r="X64" i="14"/>
  <c r="E24" i="16"/>
  <c r="X13" i="14"/>
  <c r="F12" i="16"/>
  <c r="F17" i="16"/>
  <c r="X66" i="14"/>
  <c r="F24" i="16"/>
  <c r="X15" i="14"/>
  <c r="E13" i="16"/>
  <c r="X48" i="14"/>
  <c r="E19" i="16"/>
  <c r="X68" i="14"/>
  <c r="E25" i="16"/>
  <c r="E17" i="16"/>
  <c r="X18" i="14"/>
  <c r="F13" i="16"/>
  <c r="X70" i="14"/>
  <c r="F25" i="16"/>
  <c r="X25" i="14"/>
  <c r="E14" i="16"/>
  <c r="X54" i="14"/>
  <c r="E20" i="16"/>
  <c r="X72" i="14"/>
  <c r="E26" i="16"/>
  <c r="X10" i="14"/>
  <c r="E12" i="16"/>
  <c r="X49" i="14"/>
  <c r="F19" i="16"/>
  <c r="X28" i="14"/>
  <c r="F14" i="16"/>
  <c r="X55" i="14"/>
  <c r="F20" i="16"/>
  <c r="X74" i="14"/>
  <c r="F26" i="16"/>
  <c r="X30" i="14"/>
  <c r="E15" i="16"/>
  <c r="X60" i="14"/>
  <c r="E23" i="16"/>
  <c r="X76" i="14"/>
  <c r="E27" i="16"/>
  <c r="X33" i="14"/>
  <c r="F15" i="16"/>
  <c r="X62" i="14"/>
  <c r="F23" i="16"/>
  <c r="X78" i="14"/>
  <c r="F27" i="16"/>
  <c r="F35" i="14"/>
  <c r="G35" i="14"/>
  <c r="G36" i="14"/>
  <c r="V33" i="14"/>
  <c r="N13" i="14"/>
  <c r="F48" i="14"/>
  <c r="H13" i="14"/>
  <c r="F21" i="14"/>
  <c r="Q18" i="14"/>
  <c r="M28" i="14"/>
  <c r="H26" i="14"/>
  <c r="H31" i="14"/>
  <c r="G20" i="14"/>
  <c r="G48" i="14"/>
  <c r="Q52" i="14"/>
  <c r="H25" i="14"/>
  <c r="M33" i="14"/>
  <c r="L28" i="14"/>
  <c r="H66" i="14"/>
  <c r="H12" i="14"/>
  <c r="O33" i="14"/>
  <c r="P33" i="14"/>
  <c r="H17" i="14"/>
  <c r="H60" i="14"/>
  <c r="H68" i="14"/>
  <c r="H76" i="14"/>
  <c r="H11" i="14"/>
  <c r="H28" i="14"/>
  <c r="H70" i="14"/>
  <c r="H78" i="14"/>
  <c r="H74" i="14"/>
  <c r="H27" i="14"/>
  <c r="H32" i="14"/>
  <c r="F36" i="14"/>
  <c r="H18" i="14"/>
  <c r="H62" i="14"/>
  <c r="H15" i="14"/>
  <c r="H30" i="14"/>
  <c r="M74" i="14"/>
  <c r="H16" i="14"/>
  <c r="H64" i="14"/>
  <c r="H72" i="14"/>
  <c r="R28" i="14"/>
  <c r="S78" i="14"/>
  <c r="Q66" i="14"/>
  <c r="M52" i="14"/>
  <c r="V18" i="14"/>
  <c r="O21" i="14"/>
  <c r="O28" i="14"/>
  <c r="P18" i="14"/>
  <c r="N33" i="14"/>
  <c r="S13" i="14"/>
  <c r="L18" i="14"/>
  <c r="H33" i="14"/>
  <c r="G21" i="14"/>
  <c r="H10" i="14"/>
  <c r="F20" i="14"/>
  <c r="I35" i="7"/>
  <c r="K17" i="16" s="1"/>
  <c r="I25" i="7"/>
  <c r="I20" i="7"/>
  <c r="I10" i="7"/>
  <c r="I5" i="7"/>
  <c r="Z88" i="14" l="1"/>
  <c r="AA88" i="14" s="1"/>
  <c r="Z96" i="14"/>
  <c r="X96" i="14"/>
  <c r="I110" i="7"/>
  <c r="H93" i="14" s="1"/>
  <c r="L93" i="14" s="1"/>
  <c r="M21" i="1"/>
  <c r="AB89" i="7"/>
  <c r="AC89" i="7" s="1"/>
  <c r="AE87" i="7" s="1"/>
  <c r="L89" i="7"/>
  <c r="M88" i="7" s="1"/>
  <c r="F92" i="7"/>
  <c r="X87" i="14" s="1"/>
  <c r="I41" i="7"/>
  <c r="AC34" i="7"/>
  <c r="F88" i="7"/>
  <c r="Z51" i="14"/>
  <c r="W62" i="14"/>
  <c r="W78" i="14"/>
  <c r="W66" i="14"/>
  <c r="W74" i="14"/>
  <c r="W70" i="14"/>
  <c r="F31" i="16"/>
  <c r="J66" i="14"/>
  <c r="K65" i="14" s="1"/>
  <c r="AA25" i="14"/>
  <c r="J18" i="14"/>
  <c r="K17" i="14" s="1"/>
  <c r="X21" i="14"/>
  <c r="X35" i="14"/>
  <c r="J70" i="14"/>
  <c r="K69" i="14" s="1"/>
  <c r="X36" i="14"/>
  <c r="X20" i="14"/>
  <c r="J78" i="14"/>
  <c r="K77" i="14" s="1"/>
  <c r="J28" i="14"/>
  <c r="K27" i="14" s="1"/>
  <c r="AA15" i="14"/>
  <c r="J62" i="14"/>
  <c r="K61" i="14" s="1"/>
  <c r="AA10" i="14"/>
  <c r="J74" i="14"/>
  <c r="K73" i="14" s="1"/>
  <c r="J13" i="14"/>
  <c r="K12" i="14" s="1"/>
  <c r="S21" i="14"/>
  <c r="H48" i="14"/>
  <c r="O36" i="14"/>
  <c r="H35" i="14"/>
  <c r="H21" i="14"/>
  <c r="H20" i="14"/>
  <c r="AA30" i="14"/>
  <c r="J33" i="14"/>
  <c r="K32" i="14" s="1"/>
  <c r="H36" i="14"/>
  <c r="T20" i="1"/>
  <c r="T28" i="1"/>
  <c r="AE34" i="7" l="1"/>
  <c r="E46" i="1"/>
  <c r="K95" i="14"/>
  <c r="M95" i="14" s="1"/>
  <c r="AA41" i="14"/>
  <c r="AA70" i="14"/>
  <c r="AA78" i="14"/>
  <c r="AA62" i="14"/>
  <c r="AA66" i="14"/>
  <c r="AA74" i="14"/>
  <c r="AA20" i="14"/>
  <c r="AA35" i="14"/>
  <c r="R21" i="14"/>
  <c r="K96" i="14"/>
  <c r="J21" i="1" l="1"/>
  <c r="FP2" i="13" s="1"/>
  <c r="AC93" i="14"/>
  <c r="G46" i="1"/>
  <c r="AE40" i="7"/>
  <c r="AC40" i="14"/>
  <c r="L21" i="1" l="1"/>
  <c r="T12" i="7"/>
  <c r="CJ2" i="13"/>
  <c r="BN2" i="13"/>
  <c r="AR2" i="13"/>
  <c r="W2" i="13"/>
  <c r="K27" i="16"/>
  <c r="I65" i="7"/>
  <c r="I63" i="7"/>
  <c r="G5" i="1"/>
  <c r="DU2" i="13"/>
  <c r="DT2" i="13"/>
  <c r="DS2" i="13"/>
  <c r="H30" i="7"/>
  <c r="G30" i="7"/>
  <c r="H29" i="7"/>
  <c r="G29" i="7"/>
  <c r="U52" i="7"/>
  <c r="S52" i="7"/>
  <c r="Q52" i="7"/>
  <c r="O52" i="7"/>
  <c r="S27" i="7"/>
  <c r="Q27" i="7"/>
  <c r="O27" i="7"/>
  <c r="U22" i="7"/>
  <c r="Q22" i="7"/>
  <c r="O22" i="7"/>
  <c r="U12" i="7"/>
  <c r="S12" i="7"/>
  <c r="O12" i="7"/>
  <c r="U7" i="7"/>
  <c r="S7" i="7"/>
  <c r="Q7" i="7"/>
  <c r="G14" i="7"/>
  <c r="H14" i="7"/>
  <c r="G15" i="7"/>
  <c r="H15" i="7"/>
  <c r="R27" i="7"/>
  <c r="P27" i="7"/>
  <c r="N27" i="7"/>
  <c r="T22" i="7"/>
  <c r="P22" i="7"/>
  <c r="N22" i="7"/>
  <c r="R12" i="7"/>
  <c r="N12" i="7"/>
  <c r="X27" i="7"/>
  <c r="X22" i="7"/>
  <c r="X12" i="7"/>
  <c r="X7" i="7"/>
  <c r="T7" i="7"/>
  <c r="R7" i="7"/>
  <c r="P7" i="7"/>
  <c r="I34" i="7"/>
  <c r="G21" i="1" s="1"/>
  <c r="DP2" i="13"/>
  <c r="DO2" i="13"/>
  <c r="E21" i="1"/>
  <c r="D21" i="1"/>
  <c r="E26" i="1"/>
  <c r="D26" i="1"/>
  <c r="AP80" i="6"/>
  <c r="AQ80" i="6"/>
  <c r="BQ80" i="6"/>
  <c r="B4" i="8"/>
  <c r="B5" i="8"/>
  <c r="B6" i="8"/>
  <c r="B7" i="8"/>
  <c r="A10" i="8"/>
  <c r="B10" i="8"/>
  <c r="A11" i="8"/>
  <c r="B11" i="8"/>
  <c r="D13" i="8"/>
  <c r="B14" i="8"/>
  <c r="I27" i="7"/>
  <c r="I26" i="7"/>
  <c r="I24" i="7"/>
  <c r="G18" i="1" s="1"/>
  <c r="I22" i="7"/>
  <c r="M21" i="7" s="1"/>
  <c r="N19" i="7" s="1"/>
  <c r="I21" i="7"/>
  <c r="I19" i="7"/>
  <c r="G17" i="1" s="1"/>
  <c r="G19" i="1" s="1"/>
  <c r="I12" i="7"/>
  <c r="M11" i="7" s="1"/>
  <c r="N9" i="7" s="1"/>
  <c r="I11" i="7"/>
  <c r="AN9" i="7" s="1"/>
  <c r="I6" i="7"/>
  <c r="I7" i="7"/>
  <c r="M6" i="7" s="1"/>
  <c r="N4" i="7" s="1"/>
  <c r="I4" i="7"/>
  <c r="G15" i="1" s="1"/>
  <c r="H45" i="7"/>
  <c r="G45" i="7"/>
  <c r="D23" i="1"/>
  <c r="E12" i="8"/>
  <c r="D33" i="1"/>
  <c r="D32" i="1"/>
  <c r="D31" i="1"/>
  <c r="D30" i="1"/>
  <c r="D29" i="1"/>
  <c r="C7" i="8"/>
  <c r="C6" i="8"/>
  <c r="C5" i="8"/>
  <c r="C4" i="8"/>
  <c r="Y50" i="14" l="1"/>
  <c r="Y94" i="14"/>
  <c r="K94" i="14" s="1"/>
  <c r="Z94" i="14"/>
  <c r="AN19" i="7"/>
  <c r="AN4" i="7"/>
  <c r="AN24" i="7"/>
  <c r="BY2" i="13"/>
  <c r="DF2" i="13"/>
  <c r="CX2" i="13"/>
  <c r="N2" i="13"/>
  <c r="BC2" i="13"/>
  <c r="P2" i="13"/>
  <c r="AJ2" i="13"/>
  <c r="BE2" i="13"/>
  <c r="CC2" i="13"/>
  <c r="CA2" i="13"/>
  <c r="AL2" i="13"/>
  <c r="BI2" i="13"/>
  <c r="CB2" i="13"/>
  <c r="AG2" i="13"/>
  <c r="BZ2" i="13"/>
  <c r="AM2" i="13"/>
  <c r="I16" i="1"/>
  <c r="T2" i="13"/>
  <c r="Y13" i="14"/>
  <c r="AP2" i="13"/>
  <c r="Y18" i="14"/>
  <c r="I17" i="1"/>
  <c r="Y28" i="14"/>
  <c r="CH2" i="13"/>
  <c r="I18" i="1"/>
  <c r="Y33" i="14"/>
  <c r="M26" i="7"/>
  <c r="N24" i="7" s="1"/>
  <c r="I109" i="7"/>
  <c r="H92" i="14" s="1"/>
  <c r="L92" i="14" s="1"/>
  <c r="M2" i="13"/>
  <c r="I15" i="1"/>
  <c r="K63" i="7"/>
  <c r="AH83" i="7" s="1"/>
  <c r="G29" i="1"/>
  <c r="H29" i="1" s="1"/>
  <c r="I93" i="7"/>
  <c r="I91" i="7"/>
  <c r="AB19" i="7"/>
  <c r="Z28" i="14" s="1"/>
  <c r="AA28" i="14" s="1"/>
  <c r="AB24" i="7"/>
  <c r="AB4" i="7"/>
  <c r="AB9" i="7"/>
  <c r="O2" i="13"/>
  <c r="BD2" i="13"/>
  <c r="AK2" i="13"/>
  <c r="K23" i="16"/>
  <c r="K12" i="16"/>
  <c r="J14" i="16"/>
  <c r="J12" i="16"/>
  <c r="H55" i="14"/>
  <c r="BL2" i="13"/>
  <c r="CY2" i="13"/>
  <c r="I45" i="7"/>
  <c r="F24" i="1" s="1"/>
  <c r="L2" i="13"/>
  <c r="BB2" i="13"/>
  <c r="M31" i="1"/>
  <c r="K25" i="16"/>
  <c r="H32" i="1"/>
  <c r="J26" i="16"/>
  <c r="M32" i="1"/>
  <c r="K26" i="16"/>
  <c r="J25" i="16"/>
  <c r="M17" i="1"/>
  <c r="K14" i="16"/>
  <c r="J23" i="16"/>
  <c r="H33" i="1"/>
  <c r="J27" i="16"/>
  <c r="C20" i="8"/>
  <c r="J15" i="16"/>
  <c r="J24" i="16"/>
  <c r="K15" i="16"/>
  <c r="M30" i="1"/>
  <c r="K24" i="16"/>
  <c r="C18" i="8"/>
  <c r="J13" i="16"/>
  <c r="M16" i="1"/>
  <c r="K13" i="16"/>
  <c r="G9" i="1"/>
  <c r="G8" i="1"/>
  <c r="G7" i="1"/>
  <c r="G6" i="1"/>
  <c r="I78" i="1"/>
  <c r="J76" i="1"/>
  <c r="I76" i="1"/>
  <c r="B78" i="1"/>
  <c r="DD2" i="13"/>
  <c r="C17" i="8"/>
  <c r="M15" i="1"/>
  <c r="C19" i="8"/>
  <c r="M33" i="1"/>
  <c r="M29" i="1"/>
  <c r="E30" i="1"/>
  <c r="E18" i="1"/>
  <c r="E29" i="1"/>
  <c r="E16" i="1"/>
  <c r="E32" i="1"/>
  <c r="E17" i="1"/>
  <c r="E31" i="1"/>
  <c r="E33" i="1"/>
  <c r="U32" i="1"/>
  <c r="U33" i="1"/>
  <c r="DR2" i="13"/>
  <c r="U26" i="1"/>
  <c r="U31" i="1"/>
  <c r="U30" i="1"/>
  <c r="U29" i="1"/>
  <c r="DH2" i="13"/>
  <c r="U23" i="1"/>
  <c r="BH2" i="13"/>
  <c r="U17" i="1"/>
  <c r="AF2" i="13"/>
  <c r="U16" i="1"/>
  <c r="I32" i="7"/>
  <c r="BX2" i="13"/>
  <c r="U18" i="1"/>
  <c r="Q2" i="13"/>
  <c r="U15" i="1"/>
  <c r="E15" i="1"/>
  <c r="F32" i="7"/>
  <c r="E23" i="1"/>
  <c r="M18" i="1"/>
  <c r="F110" i="7"/>
  <c r="H21" i="1"/>
  <c r="D16" i="1"/>
  <c r="D17" i="1"/>
  <c r="D18" i="1"/>
  <c r="D15" i="1"/>
  <c r="F30" i="7"/>
  <c r="I15" i="7"/>
  <c r="I30" i="7"/>
  <c r="O30" i="7"/>
  <c r="F29" i="7"/>
  <c r="I29" i="7"/>
  <c r="U15" i="7"/>
  <c r="I14" i="7"/>
  <c r="F14" i="7"/>
  <c r="F15" i="7"/>
  <c r="C8" i="8"/>
  <c r="I19" i="1" l="1"/>
  <c r="AH14" i="7"/>
  <c r="K29" i="16"/>
  <c r="I113" i="7"/>
  <c r="D19" i="1"/>
  <c r="H19" i="1" s="1"/>
  <c r="E19" i="1"/>
  <c r="M19" i="1"/>
  <c r="Z13" i="14"/>
  <c r="AA13" i="14" s="1"/>
  <c r="Z92" i="14"/>
  <c r="AB114" i="7"/>
  <c r="I37" i="1"/>
  <c r="AH98" i="7"/>
  <c r="R14" i="1" s="1"/>
  <c r="R13" i="1"/>
  <c r="G35" i="1"/>
  <c r="H35" i="1" s="1"/>
  <c r="J29" i="16"/>
  <c r="L31" i="16"/>
  <c r="R48" i="16" s="1"/>
  <c r="G23" i="1"/>
  <c r="H23" i="1" s="1"/>
  <c r="AH50" i="7"/>
  <c r="X93" i="14"/>
  <c r="F114" i="7"/>
  <c r="Y21" i="14"/>
  <c r="H94" i="14"/>
  <c r="AC9" i="7"/>
  <c r="E42" i="1" s="1"/>
  <c r="Z18" i="14"/>
  <c r="Y92" i="14"/>
  <c r="Y97" i="14" s="1"/>
  <c r="Y36" i="14"/>
  <c r="AC24" i="7"/>
  <c r="AE24" i="7" s="1"/>
  <c r="Z33" i="14"/>
  <c r="L30" i="1"/>
  <c r="L29" i="1"/>
  <c r="E37" i="1"/>
  <c r="FV2" i="13" s="1"/>
  <c r="L31" i="1"/>
  <c r="L32" i="1"/>
  <c r="L33" i="1"/>
  <c r="H96" i="14"/>
  <c r="L96" i="14" s="1"/>
  <c r="M96" i="14" s="1"/>
  <c r="M35" i="1"/>
  <c r="M37" i="1" s="1"/>
  <c r="J19" i="16"/>
  <c r="P14" i="7"/>
  <c r="AB29" i="7"/>
  <c r="AC29" i="7" s="1"/>
  <c r="AB14" i="7"/>
  <c r="AC14" i="7" s="1"/>
  <c r="M92" i="7"/>
  <c r="Z91" i="7" s="1"/>
  <c r="AC91" i="7"/>
  <c r="E52" i="1" s="1"/>
  <c r="G52" i="1" s="1"/>
  <c r="W31" i="1"/>
  <c r="H31" i="1"/>
  <c r="W30" i="1"/>
  <c r="H30" i="1"/>
  <c r="W32" i="1"/>
  <c r="W29" i="1"/>
  <c r="T32" i="1"/>
  <c r="T17" i="1"/>
  <c r="W33" i="1"/>
  <c r="T30" i="1"/>
  <c r="T21" i="1"/>
  <c r="J20" i="16"/>
  <c r="T31" i="1"/>
  <c r="T16" i="1"/>
  <c r="T15" i="1"/>
  <c r="H17" i="1"/>
  <c r="C21" i="8"/>
  <c r="T33" i="1"/>
  <c r="T18" i="1"/>
  <c r="T29" i="1"/>
  <c r="W21" i="1"/>
  <c r="W18" i="1"/>
  <c r="W17" i="1"/>
  <c r="W16" i="1"/>
  <c r="H18" i="1"/>
  <c r="H15" i="1"/>
  <c r="W15" i="1"/>
  <c r="H16" i="1"/>
  <c r="AC19" i="7"/>
  <c r="AB32" i="7"/>
  <c r="AC4" i="7"/>
  <c r="C10" i="8"/>
  <c r="C11" i="8"/>
  <c r="D11" i="8" s="1"/>
  <c r="G42" i="1" l="1"/>
  <c r="AE9" i="7"/>
  <c r="AD9" i="7"/>
  <c r="K16" i="1" s="1"/>
  <c r="L55" i="16"/>
  <c r="K93" i="14"/>
  <c r="M93" i="14" s="1"/>
  <c r="X97" i="14"/>
  <c r="Z21" i="14"/>
  <c r="AA21" i="14" s="1"/>
  <c r="AA18" i="14"/>
  <c r="K92" i="14"/>
  <c r="M92" i="14" s="1"/>
  <c r="AD24" i="7"/>
  <c r="E44" i="1"/>
  <c r="Z36" i="14"/>
  <c r="AA36" i="14" s="1"/>
  <c r="AA33" i="14"/>
  <c r="Z97" i="14"/>
  <c r="AC30" i="14"/>
  <c r="J18" i="1"/>
  <c r="FO2" i="13" s="1"/>
  <c r="L37" i="1"/>
  <c r="AE91" i="7"/>
  <c r="AC96" i="14" s="1"/>
  <c r="AD91" i="7"/>
  <c r="AB96" i="14" s="1"/>
  <c r="AE19" i="7"/>
  <c r="AD19" i="7"/>
  <c r="AD29" i="7"/>
  <c r="AE29" i="7"/>
  <c r="AC35" i="14" s="1"/>
  <c r="AE14" i="7"/>
  <c r="AC20" i="14" s="1"/>
  <c r="AD14" i="7"/>
  <c r="AE4" i="7"/>
  <c r="AD4" i="7"/>
  <c r="W23" i="1"/>
  <c r="H26" i="1"/>
  <c r="W26" i="1"/>
  <c r="T26" i="1"/>
  <c r="DQ2" i="13"/>
  <c r="AC56" i="7"/>
  <c r="AH54" i="7" s="1"/>
  <c r="E43" i="1"/>
  <c r="E41" i="1"/>
  <c r="AC32" i="7"/>
  <c r="D10" i="8"/>
  <c r="D12" i="8" s="1"/>
  <c r="D14" i="8" s="1"/>
  <c r="C12" i="8"/>
  <c r="C14" i="8" s="1"/>
  <c r="C23" i="8" s="1"/>
  <c r="G46" i="7" s="1"/>
  <c r="AC114" i="7" l="1"/>
  <c r="AC92" i="14"/>
  <c r="K15" i="1"/>
  <c r="FH2" i="13" s="1"/>
  <c r="AB92" i="14"/>
  <c r="AB97" i="14" s="1"/>
  <c r="FJ2" i="13"/>
  <c r="GI2" i="13"/>
  <c r="G41" i="1"/>
  <c r="B5" i="9" s="1"/>
  <c r="G43" i="1"/>
  <c r="F3" i="9" s="1"/>
  <c r="G44" i="1"/>
  <c r="H4" i="9" s="1"/>
  <c r="AH91" i="7"/>
  <c r="R35" i="1" s="1"/>
  <c r="J35" i="1"/>
  <c r="AH24" i="7"/>
  <c r="R18" i="1" s="1"/>
  <c r="AH19" i="7"/>
  <c r="R17" i="1" s="1"/>
  <c r="AH9" i="7"/>
  <c r="R16" i="1" s="1"/>
  <c r="AH4" i="7"/>
  <c r="R15" i="1" s="1"/>
  <c r="R26" i="1"/>
  <c r="AD54" i="7"/>
  <c r="AB15" i="14"/>
  <c r="J16" i="1"/>
  <c r="J15" i="1"/>
  <c r="FI2" i="13" s="1"/>
  <c r="AC15" i="14"/>
  <c r="K97" i="14"/>
  <c r="AA38" i="14"/>
  <c r="AC25" i="14"/>
  <c r="J17" i="1"/>
  <c r="FM2" i="13" s="1"/>
  <c r="AB25" i="14"/>
  <c r="K17" i="1"/>
  <c r="FL2" i="13" s="1"/>
  <c r="K35" i="1"/>
  <c r="FT2" i="13" s="1"/>
  <c r="AB86" i="14"/>
  <c r="AC86" i="14"/>
  <c r="K18" i="1"/>
  <c r="K19" i="1" s="1"/>
  <c r="AB30" i="14"/>
  <c r="AE54" i="7"/>
  <c r="AC95" i="14" s="1"/>
  <c r="AB35" i="14"/>
  <c r="AB20" i="14"/>
  <c r="F25" i="8"/>
  <c r="AB10" i="14"/>
  <c r="AC10" i="14"/>
  <c r="E50" i="1"/>
  <c r="G49" i="14"/>
  <c r="L5" i="9"/>
  <c r="L4" i="9"/>
  <c r="L3" i="9"/>
  <c r="D4" i="9"/>
  <c r="D3" i="9"/>
  <c r="D5" i="9"/>
  <c r="C25" i="8"/>
  <c r="C28" i="8" s="1"/>
  <c r="D28" i="8" s="1"/>
  <c r="FK2" i="13" l="1"/>
  <c r="J19" i="1"/>
  <c r="C63" i="1"/>
  <c r="G50" i="1"/>
  <c r="L18" i="1"/>
  <c r="FN2" i="13"/>
  <c r="H5" i="9"/>
  <c r="H3" i="9"/>
  <c r="L15" i="1"/>
  <c r="L16" i="1"/>
  <c r="L35" i="1"/>
  <c r="AC54" i="14"/>
  <c r="J26" i="1"/>
  <c r="L26" i="1" s="1"/>
  <c r="L17" i="1"/>
  <c r="T50" i="1"/>
  <c r="FS2" i="13"/>
  <c r="F28" i="8"/>
  <c r="G28" i="8" s="1"/>
  <c r="F27" i="8"/>
  <c r="F4" i="9"/>
  <c r="B4" i="9"/>
  <c r="B3" i="9"/>
  <c r="F5" i="9"/>
  <c r="C27" i="8"/>
  <c r="L19" i="1" l="1"/>
  <c r="F29" i="8"/>
  <c r="G27" i="8"/>
  <c r="C29" i="8"/>
  <c r="D27" i="8"/>
  <c r="D31" i="8" s="1"/>
  <c r="G29" i="8" l="1"/>
  <c r="G31" i="8"/>
  <c r="I114" i="7"/>
  <c r="D29" i="8"/>
  <c r="G33" i="8" l="1"/>
  <c r="I49" i="7"/>
  <c r="H97" i="14"/>
  <c r="L97" i="14" s="1"/>
  <c r="M97" i="14" s="1"/>
  <c r="T23" i="1"/>
  <c r="CZ2" i="13" l="1"/>
  <c r="H49" i="14"/>
  <c r="K23" i="1"/>
  <c r="L94" i="14"/>
  <c r="M94" i="14" s="1"/>
  <c r="K37" i="1" l="1"/>
  <c r="FQ2" i="13"/>
  <c r="AA52" i="14"/>
  <c r="AA49" i="14"/>
  <c r="E48" i="1"/>
  <c r="E54" i="1" s="1"/>
  <c r="AE45" i="7"/>
  <c r="T41" i="1"/>
  <c r="T43" i="1"/>
  <c r="T44" i="1"/>
  <c r="T42" i="1"/>
  <c r="T52" i="1"/>
  <c r="J23" i="1" l="1"/>
  <c r="AC94" i="14"/>
  <c r="AC97" i="14" s="1"/>
  <c r="AA97" i="14"/>
  <c r="AD98" i="14"/>
  <c r="C57" i="1"/>
  <c r="G48" i="1"/>
  <c r="J4" i="9" s="1"/>
  <c r="T48" i="1"/>
  <c r="T54" i="1" s="1"/>
  <c r="AB48" i="14"/>
  <c r="AC48" i="14"/>
  <c r="L23" i="1" l="1"/>
  <c r="FR2" i="13"/>
  <c r="J37" i="1"/>
  <c r="T37" i="1" s="1"/>
  <c r="U54" i="1" s="1"/>
  <c r="G54" i="1"/>
  <c r="J3" i="9"/>
  <c r="J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Harringer, Elmar</author>
    <author>tc={BA227638-AAFC-4FCB-BC7D-AD80A999DF99}</author>
  </authors>
  <commentList>
    <comment ref="V5" authorId="0" shapeId="0" xr:uid="{3120B665-6ECB-4975-939A-E61A4D8A4CD2}">
      <text>
        <r>
          <rPr>
            <b/>
            <sz val="9"/>
            <color indexed="81"/>
            <rFont val="Segoe UI"/>
            <family val="2"/>
          </rPr>
          <t>Umschichtung nach Inclusion Support Participants</t>
        </r>
        <r>
          <rPr>
            <sz val="9"/>
            <color indexed="81"/>
            <rFont val="Segoe UI"/>
            <family val="2"/>
          </rPr>
          <t xml:space="preserve">
</t>
        </r>
      </text>
    </comment>
    <comment ref="W5" authorId="0" shapeId="0" xr:uid="{993E8065-4425-4110-B4CD-9A77CE93778E}">
      <text>
        <r>
          <rPr>
            <b/>
            <sz val="9"/>
            <color indexed="81"/>
            <rFont val="Segoe UI"/>
            <family val="2"/>
          </rPr>
          <t>Umschichtung nach Inclusion Suppport for HEIs</t>
        </r>
        <r>
          <rPr>
            <sz val="9"/>
            <color indexed="81"/>
            <rFont val="Segoe UI"/>
            <family val="2"/>
          </rPr>
          <t xml:space="preserve">
</t>
        </r>
      </text>
    </comment>
    <comment ref="J47" authorId="1" shapeId="0" xr:uid="{BA227638-AAFC-4FCB-BC7D-AD80A999DF99}">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In I42 war diese Formel:
=MIN(F41+N42+O42+P42+Q42+R42+S42+T42+U42+V42+Z42+AA42;OS!G31)
Prinzipiell richtig, aber vielleicht verwirrend, da sich der Betrag mit Eingabe der Umschichtungen ändert.
Daher auf max. möglichen Betrag lt. Berechnung geändert.
Antwort:
    In AC42 war diese Formel:
=WENN(UND((AC7+AC12+AC22+AC27)&lt;&gt;0;I44=I41);(K42-I41)*-1;I41-I44). Hat auf Amendment geprüft. Nur wenn Änderung bei Aktivitäten und ALLE OS Mittel in Anspruch genommen werden, dann wird neue Mobilitätszahl genommen.
Antwort:
    In K42 war diese Formel:
=WENN(AC7+AC12+AC22+AC27&lt;&gt;0;OS!G31;OS!D31) Wenn Änderung bei Aktivitäten, dann bei OS berücksichtigen. Wenn nicht, dann OS lt Vereinbarung.</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Harringer, Elmar</author>
  </authors>
  <commentList>
    <comment ref="D6" authorId="0" shapeId="0" xr:uid="{EB505961-7E7E-4F44-82EC-1CF92B78A133}">
      <text>
        <r>
          <rPr>
            <sz val="9"/>
            <color indexed="81"/>
            <rFont val="Segoe UI"/>
            <family val="2"/>
          </rPr>
          <t xml:space="preserve">Max. 20 Personen werden gefördert!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Harringer, Elmar</author>
  </authors>
  <commentList>
    <comment ref="K39" authorId="0" shapeId="0" xr:uid="{46F16658-ED14-49EF-B614-4881C7BEB6C2}">
      <text>
        <r>
          <rPr>
            <sz val="9"/>
            <color indexed="81"/>
            <rFont val="Segoe UI"/>
            <family val="2"/>
          </rPr>
          <t xml:space="preserve">Wenn Sie die Vorauszahlung erhalten haben, wählen Sie bitte X.
</t>
        </r>
      </text>
    </comment>
    <comment ref="K40" authorId="0" shapeId="0" xr:uid="{75FD3857-638D-4375-AC07-A0275F62E8C0}">
      <text>
        <r>
          <rPr>
            <sz val="9"/>
            <color indexed="81"/>
            <rFont val="Segoe UI"/>
            <family val="2"/>
          </rPr>
          <t xml:space="preserve">Wenn Sie die Vorauszahlung erhalten haben, wählen Sie bitte X.
</t>
        </r>
      </text>
    </comment>
    <comment ref="K41" authorId="0" shapeId="0" xr:uid="{63702A37-25A7-4F1D-9F80-078F166F0998}">
      <text>
        <r>
          <rPr>
            <sz val="9"/>
            <color indexed="81"/>
            <rFont val="Segoe UI"/>
            <family val="2"/>
          </rPr>
          <t xml:space="preserve">Wenn Sie die Vorauszahlung erhalten haben, wählen Sie bitte X.
</t>
        </r>
      </text>
    </comment>
    <comment ref="K42" authorId="0" shapeId="0" xr:uid="{B32CA3A2-2A67-43C7-8568-FE5E540EADD0}">
      <text>
        <r>
          <rPr>
            <sz val="9"/>
            <color indexed="81"/>
            <rFont val="Segoe UI"/>
            <family val="2"/>
          </rPr>
          <t xml:space="preserve">Wenn Sie die Vorauszahlung erhalten haben, wählen Sie bitte X.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Harringer, Elmar</author>
  </authors>
  <commentList>
    <comment ref="E12" authorId="0" shapeId="0" xr:uid="{BB343927-ACE9-4194-B51A-6CC55A759DD4}">
      <text>
        <r>
          <rPr>
            <b/>
            <sz val="9"/>
            <color indexed="81"/>
            <rFont val="Segoe UI"/>
            <family val="2"/>
          </rPr>
          <t>Harringer, Elmar:</t>
        </r>
        <r>
          <rPr>
            <sz val="9"/>
            <color indexed="81"/>
            <rFont val="Segoe UI"/>
            <family val="2"/>
          </rPr>
          <t xml:space="preserve">
Kontrolle aus Vertragsdaten</t>
        </r>
      </text>
    </comment>
  </commentList>
</comments>
</file>

<file path=xl/sharedStrings.xml><?xml version="1.0" encoding="utf-8"?>
<sst xmlns="http://schemas.openxmlformats.org/spreadsheetml/2006/main" count="1679" uniqueCount="979">
  <si>
    <t xml:space="preserve">     ERASMUS-Code:</t>
  </si>
  <si>
    <t xml:space="preserve">     Hochschule:</t>
  </si>
  <si>
    <t>STA</t>
  </si>
  <si>
    <t>STT</t>
  </si>
  <si>
    <t>Fachhochschule Salzburg GmbH</t>
  </si>
  <si>
    <t xml:space="preserve">     GZ:</t>
  </si>
  <si>
    <t>Bitte nur die gelb hinterlegten Felder ausfüllen!</t>
  </si>
  <si>
    <t>Pädagogische Hochschule Vorarlberg</t>
  </si>
  <si>
    <t>Pädagogische Hochschule Tirol</t>
  </si>
  <si>
    <t>FH Gesundheitsberufe OÖ GmbH</t>
  </si>
  <si>
    <t>Privatuniversität Schloss Seeburg</t>
  </si>
  <si>
    <t>Fachhochschule Technikum Wien</t>
  </si>
  <si>
    <t>Lauder Business School</t>
  </si>
  <si>
    <t>Theresianische Militärakademie Fachhochschul-Bachelorstudiengang Militärische Führung</t>
  </si>
  <si>
    <t>A  BADEN01</t>
  </si>
  <si>
    <t>A  DORNBIR01</t>
  </si>
  <si>
    <t>A  EISENST01</t>
  </si>
  <si>
    <t>A  EISENST02</t>
  </si>
  <si>
    <t>A  EISENST05</t>
  </si>
  <si>
    <t>A  FELDKIR01</t>
  </si>
  <si>
    <t>A  GRAZ01</t>
  </si>
  <si>
    <t>A  GRAZ02</t>
  </si>
  <si>
    <t>A  GRAZ03</t>
  </si>
  <si>
    <t>A  GRAZ04</t>
  </si>
  <si>
    <t>A  GRAZ08</t>
  </si>
  <si>
    <t>A  GRAZ09</t>
  </si>
  <si>
    <t>A  GRAZ10</t>
  </si>
  <si>
    <t>A  GRAZ23</t>
  </si>
  <si>
    <t>A  INNSBRU01</t>
  </si>
  <si>
    <t>A  INNSBRU03</t>
  </si>
  <si>
    <t>A  INNSBRU08</t>
  </si>
  <si>
    <t>A  INNSBRU09</t>
  </si>
  <si>
    <t>A  INNSBRU20</t>
  </si>
  <si>
    <t>A  INNSBRU21</t>
  </si>
  <si>
    <t>A  INNSBRU23</t>
  </si>
  <si>
    <t>A  KLAGENF01</t>
  </si>
  <si>
    <t>A  KLAGENF02</t>
  </si>
  <si>
    <t>A  KLAGENF06</t>
  </si>
  <si>
    <t>A  KREMS03</t>
  </si>
  <si>
    <t>A  KREMS05</t>
  </si>
  <si>
    <t>A  KUFSTEI01</t>
  </si>
  <si>
    <t>A  LEOBEN01</t>
  </si>
  <si>
    <t>A  LINZ01</t>
  </si>
  <si>
    <t>A  LINZ02</t>
  </si>
  <si>
    <t>A  LINZ03</t>
  </si>
  <si>
    <t>A  LINZ04</t>
  </si>
  <si>
    <t>A  LINZ11</t>
  </si>
  <si>
    <t>A  LINZ17</t>
  </si>
  <si>
    <t>A  LINZ23</t>
  </si>
  <si>
    <t>A  SALZBUR01</t>
  </si>
  <si>
    <t>A  SALZBUR02</t>
  </si>
  <si>
    <t>A  SALZBUR08</t>
  </si>
  <si>
    <t>A  SALZBUR18</t>
  </si>
  <si>
    <t>A  SPITTAL01</t>
  </si>
  <si>
    <t>A  ST-POLT03</t>
  </si>
  <si>
    <t>A  ST-POLT10</t>
  </si>
  <si>
    <t>A  WELS01</t>
  </si>
  <si>
    <t>A  WIEN01</t>
  </si>
  <si>
    <t>A  WIEN02</t>
  </si>
  <si>
    <t>A  WIEN03</t>
  </si>
  <si>
    <t>A  WIEN04</t>
  </si>
  <si>
    <t>A  WIEN05</t>
  </si>
  <si>
    <t>A  WIEN06</t>
  </si>
  <si>
    <t>A  WIEN07</t>
  </si>
  <si>
    <t>A  WIEN08</t>
  </si>
  <si>
    <t>A  WIEN09</t>
  </si>
  <si>
    <t>A  WIEN10</t>
  </si>
  <si>
    <t>A  WIEN15</t>
  </si>
  <si>
    <t>A  WIEN20</t>
  </si>
  <si>
    <t>A  WIEN21</t>
  </si>
  <si>
    <t>A  WIEN38</t>
  </si>
  <si>
    <t>A  WIEN52</t>
  </si>
  <si>
    <t>A  WIEN63</t>
  </si>
  <si>
    <t>A  WIEN64</t>
  </si>
  <si>
    <t>A  WIEN66</t>
  </si>
  <si>
    <t>A  WIEN68</t>
  </si>
  <si>
    <t>A  WIEN70</t>
  </si>
  <si>
    <t>A  WIENER01</t>
  </si>
  <si>
    <t>A  WIENER04</t>
  </si>
  <si>
    <t>Ergebnis</t>
  </si>
  <si>
    <t>ProjectCode</t>
  </si>
  <si>
    <t>PAEDAGOGISCHE HOCHSCHULE NIEDERÖSTERREICH</t>
  </si>
  <si>
    <t>FACHHOCHSCHULE VORARLBERG GMBH</t>
  </si>
  <si>
    <t>STIFTUNG PRIVATE PÄDAGOGISCHE HOCHSCHULE BURGENLAND</t>
  </si>
  <si>
    <t>UNIVERSITAET GRAZ</t>
  </si>
  <si>
    <t>TECHNISCHE UNIVERSITAET GRAZ</t>
  </si>
  <si>
    <t>UNIVERSITAT FUR MUSIK UND DARSTELLENDE KUNST GRAZ (KUG)</t>
  </si>
  <si>
    <t>University College of Teacher Education Styria</t>
  </si>
  <si>
    <t>CAMPUS 02 FACHHOCHSCHULE DER WIRTSCHAFT GMBH</t>
  </si>
  <si>
    <t>MEDIZINISCHE UNIVERSITAT GRAZ</t>
  </si>
  <si>
    <t>UNIVERSITAET INNSBRUCK</t>
  </si>
  <si>
    <t>MCI MANAGEMENT CENTER INNSBRUCK INTERNATIONALE HOCHSCHULE GMBH</t>
  </si>
  <si>
    <t>Private Pädagogische Hochschule - Hochschulstiftung der Diözese Innsbruck</t>
  </si>
  <si>
    <t>MEDIZINISCHE UNIVERSITAT INNSBRUCK</t>
  </si>
  <si>
    <t>FHG - ZENTRUM FUER GESUNDHEITSBERUFE TIROL GMBH</t>
  </si>
  <si>
    <t>UNIVERSITAET KLAGENFURT</t>
  </si>
  <si>
    <t>Pädagogische Hochschule Kärnten</t>
  </si>
  <si>
    <t>FHS KUFSTEIN TIROL BILDUNGS GMBH</t>
  </si>
  <si>
    <t>UNIVERSITAT LINZ</t>
  </si>
  <si>
    <t>PARIS-LODRON-UNIVERSITAT SALZBURG</t>
  </si>
  <si>
    <t>FACHHOCHSCHULE ST POELTEN GMBH</t>
  </si>
  <si>
    <t>FH OO STUDIENBETRIEBS GMBH</t>
  </si>
  <si>
    <t>TECHNISCHE UNIVERSITAET WIEN</t>
  </si>
  <si>
    <t>UNIVERSITAET FUER BODENKULTUR WIEN</t>
  </si>
  <si>
    <t>VETERINAERMEDIZINISCHE UNIVERSITAET WIEN</t>
  </si>
  <si>
    <t>WIRTSCHAFTSUNIVERSITAT WIEN</t>
  </si>
  <si>
    <t>AKADEMIE DER BILDENDEN KUNSTE WIEN</t>
  </si>
  <si>
    <t>UNIVERSITAT FUR ANGEWANDTE KUNST WIEN</t>
  </si>
  <si>
    <t>FACHHOCHSCHULE DES BFI WIEN GESELLSCHAFT M.B.H.</t>
  </si>
  <si>
    <t>FH-CAMPUS WIEN - VEREIN ZUR FORDERUNG DES FACHHOCHSCHUL-, ENTWICKLUNGS- UND FORSCHUNGSZENTRUMS IM SUDEN WIENS</t>
  </si>
  <si>
    <t>MEDIZINISCHE UNIVERSITAET WIEN</t>
  </si>
  <si>
    <t>MODUL UNIVERSITY VIENNA GMBH</t>
  </si>
  <si>
    <t>€</t>
  </si>
  <si>
    <t>Summe</t>
  </si>
  <si>
    <t>FACHHOCHSCHULE BURGENLAND GMBH</t>
  </si>
  <si>
    <t>IMC FACHHOCHSCHULE KREMS GMBH</t>
  </si>
  <si>
    <t>UNIVERSITAT MOZARTEUM SALZBURG</t>
  </si>
  <si>
    <t>UNIVERSITAT WIEN</t>
  </si>
  <si>
    <t>Musik und Kunst Privatuniversität der Stadt Wien GmbH</t>
  </si>
  <si>
    <t>A  KLOSTER01</t>
  </si>
  <si>
    <t>A  WIEN74</t>
  </si>
  <si>
    <t>FH JOANNEUM GESELLSCHAFT MBH</t>
  </si>
  <si>
    <t>UNIVERSITAT FUR WEITERBILDUNG KREMS</t>
  </si>
  <si>
    <t>UNIVERSITAT FUR KUNSTLERISCHE UND INDUSTRIELLE GESTALTUNG LINZ</t>
  </si>
  <si>
    <t>PRIVATE PADAGOGISCHE HOCHSCHULE DER DIOZESE LINZ</t>
  </si>
  <si>
    <t>ANTON BRUCKNER PRIVATUNIVERSITAT</t>
  </si>
  <si>
    <t>NEW DESIGN UNIVERSITY PRIVATUNIVERSITAT GESMBH</t>
  </si>
  <si>
    <t>UNIVERSITAT FUR MUSIK UND DARSTELLENDE KUNST WIEN</t>
  </si>
  <si>
    <t>SIGMUND FREUD PRIVATUNIVERSITAT WIEN GMBH</t>
  </si>
  <si>
    <t>FACHHOCHSCHULE WIENER NEUSTADT GMBH</t>
  </si>
  <si>
    <t>A  FELDKIR03</t>
  </si>
  <si>
    <t>A  KREMS06</t>
  </si>
  <si>
    <t>A  WIEN75</t>
  </si>
  <si>
    <t>A  WIEN76</t>
  </si>
  <si>
    <t>Karl Landsteiner Privatuniversität für Gesundheitswissenschaften GmbH</t>
  </si>
  <si>
    <t>MONTANUNIVERSITAET LEOBEN</t>
  </si>
  <si>
    <t>JAM MUSIC LAB Private University for Jazz and Popular Music Vienna</t>
  </si>
  <si>
    <t>Gesetzliche/r Vertreter/in der Hochschulinstitution</t>
  </si>
  <si>
    <t>Datum</t>
  </si>
  <si>
    <t>Unterschrift</t>
  </si>
  <si>
    <t>E10054064</t>
  </si>
  <si>
    <t>E10208308</t>
  </si>
  <si>
    <t>E10106070</t>
  </si>
  <si>
    <t>E10080646</t>
  </si>
  <si>
    <t>E10108614</t>
  </si>
  <si>
    <t>E10125992</t>
  </si>
  <si>
    <t>E10107661</t>
  </si>
  <si>
    <t>E10208908</t>
  </si>
  <si>
    <t>E10209400</t>
  </si>
  <si>
    <t>E10150994</t>
  </si>
  <si>
    <t>E10067249</t>
  </si>
  <si>
    <t>E10118298</t>
  </si>
  <si>
    <t>E10207256</t>
  </si>
  <si>
    <t>E10180135</t>
  </si>
  <si>
    <t>E10208589</t>
  </si>
  <si>
    <t>E10208876</t>
  </si>
  <si>
    <t>E10102599</t>
  </si>
  <si>
    <t>E10205342</t>
  </si>
  <si>
    <t>E10103835</t>
  </si>
  <si>
    <t>E10208754</t>
  </si>
  <si>
    <t>E10211627</t>
  </si>
  <si>
    <t>E10208594</t>
  </si>
  <si>
    <t>E10173780</t>
  </si>
  <si>
    <t>E10189052</t>
  </si>
  <si>
    <t>E10054647</t>
  </si>
  <si>
    <t>E10208841</t>
  </si>
  <si>
    <t>E10067356</t>
  </si>
  <si>
    <t>E10200255</t>
  </si>
  <si>
    <t>E10209119</t>
  </si>
  <si>
    <t>E10209080</t>
  </si>
  <si>
    <t>E10205663</t>
  </si>
  <si>
    <t>E10080085</t>
  </si>
  <si>
    <t>E10026665</t>
  </si>
  <si>
    <t>E10205657</t>
  </si>
  <si>
    <t>E10205492</t>
  </si>
  <si>
    <t>E10097390</t>
  </si>
  <si>
    <t>E10208866</t>
  </si>
  <si>
    <t>E10093810</t>
  </si>
  <si>
    <t>E10062661</t>
  </si>
  <si>
    <t>E10186156</t>
  </si>
  <si>
    <t>E10113741</t>
  </si>
  <si>
    <t>E10200778</t>
  </si>
  <si>
    <t>E10146606</t>
  </si>
  <si>
    <t>E10137975</t>
  </si>
  <si>
    <t>E10155097</t>
  </si>
  <si>
    <t>E10208854</t>
  </si>
  <si>
    <t>E10209415</t>
  </si>
  <si>
    <t>E10209455</t>
  </si>
  <si>
    <t>E10208722</t>
  </si>
  <si>
    <t>E10208161</t>
  </si>
  <si>
    <t>E10179725</t>
  </si>
  <si>
    <t>E10207671</t>
  </si>
  <si>
    <t>E10151881</t>
  </si>
  <si>
    <t>E10102265</t>
  </si>
  <si>
    <t>E10178676</t>
  </si>
  <si>
    <t>E10103635</t>
  </si>
  <si>
    <t>E10204184</t>
  </si>
  <si>
    <t>E10078269</t>
  </si>
  <si>
    <t>E10083917</t>
  </si>
  <si>
    <t>E10106327</t>
  </si>
  <si>
    <t>E10163238</t>
  </si>
  <si>
    <t>E10209471</t>
  </si>
  <si>
    <t>E10187241</t>
  </si>
  <si>
    <t>E10190418</t>
  </si>
  <si>
    <t>E10150824</t>
  </si>
  <si>
    <t>E10107447</t>
  </si>
  <si>
    <t>E10179040</t>
  </si>
  <si>
    <t>E10198846</t>
  </si>
  <si>
    <t>E10097899</t>
  </si>
  <si>
    <t>Pädagogische Hochschule Wien</t>
  </si>
  <si>
    <t>HOCHSCHULE FUR AGRAR- UND UMWELTPADAGOGIK</t>
  </si>
  <si>
    <t>BILDUNGSVEREIN FUR DIE FREUNDE DER WEBSTER UNIVERSITY (ST. LOUIS, USA)</t>
  </si>
  <si>
    <t xml:space="preserve">     OID:</t>
  </si>
  <si>
    <t>Gustav Mahler Privatuniversität für Musik</t>
  </si>
  <si>
    <t>INSTITUTE OF SCIENCE AND TECHNOLOGYAUSTRIA</t>
  </si>
  <si>
    <t>Katholische Privat-Universitaet Linz</t>
  </si>
  <si>
    <t>KIRCHLICHE PÄDAGOGISCHE HOCHSCHULE WIEN / KREMS</t>
  </si>
  <si>
    <t>Erasmus Code</t>
  </si>
  <si>
    <t>InstName</t>
  </si>
  <si>
    <t>SMS_Mob</t>
  </si>
  <si>
    <t>SMT_Mob</t>
  </si>
  <si>
    <t>STA_Mob</t>
  </si>
  <si>
    <t>STA_t</t>
  </si>
  <si>
    <t>STT_Mob</t>
  </si>
  <si>
    <t>STT_t</t>
  </si>
  <si>
    <t>OS_Mob</t>
  </si>
  <si>
    <t>Auszahlung</t>
  </si>
  <si>
    <t>80-20</t>
  </si>
  <si>
    <t>Joseph Haydn Konservatorium GmbH</t>
  </si>
  <si>
    <t>40-40-20</t>
  </si>
  <si>
    <t>PAEDAGOGISCHE HOCHSCHULE OBEROSTERREICH</t>
  </si>
  <si>
    <t>Pädagogische Hochschule Salzburg Stefan Zweig</t>
  </si>
  <si>
    <t>A  SALZBUR19</t>
  </si>
  <si>
    <t>FHW Fachhochschul-Studiengänge Betriebs- und Forschungseinrichtungen der Wiener Wirtschaft GmbH</t>
  </si>
  <si>
    <t>VMI-Vienna Music Institute - Konservatorium des Herrn Mag. Ernst Ritsch</t>
  </si>
  <si>
    <t>A  WIEN78</t>
  </si>
  <si>
    <t>CEU GMBH</t>
  </si>
  <si>
    <t>OID</t>
  </si>
  <si>
    <t>E10203046</t>
  </si>
  <si>
    <t>E10269139</t>
  </si>
  <si>
    <t>Legal Representative</t>
  </si>
  <si>
    <t>Legal Representative Email</t>
  </si>
  <si>
    <t>Legal Representative2</t>
  </si>
  <si>
    <t>Legal Representative Email2</t>
  </si>
  <si>
    <t>GZ</t>
  </si>
  <si>
    <t>von STA</t>
  </si>
  <si>
    <t>von STT</t>
  </si>
  <si>
    <t>nach STA</t>
  </si>
  <si>
    <t>nach STT</t>
  </si>
  <si>
    <t>nach SMS</t>
  </si>
  <si>
    <t>von SMS</t>
  </si>
  <si>
    <t>SMS</t>
  </si>
  <si>
    <t>Mobilitäten</t>
  </si>
  <si>
    <t>SMT</t>
  </si>
  <si>
    <t>lt. Vertrag</t>
  </si>
  <si>
    <t>geplant</t>
  </si>
  <si>
    <t>OS</t>
  </si>
  <si>
    <t>Mob</t>
  </si>
  <si>
    <t>nach ZB</t>
  </si>
  <si>
    <t>90% Grenze</t>
  </si>
  <si>
    <t>Inclusion Support HEI</t>
  </si>
  <si>
    <t>Inclusion Support Participants</t>
  </si>
  <si>
    <t>von SMT</t>
  </si>
  <si>
    <t>nach SMT</t>
  </si>
  <si>
    <t>von OS</t>
  </si>
  <si>
    <t>Saldo</t>
  </si>
  <si>
    <t>zur Verfügung nach Umschichtung</t>
  </si>
  <si>
    <t>SM</t>
  </si>
  <si>
    <t>nach SM</t>
  </si>
  <si>
    <t>nach ST</t>
  </si>
  <si>
    <t>ST</t>
  </si>
  <si>
    <t>Tage finanziert</t>
  </si>
  <si>
    <t>Tage zero grant</t>
  </si>
  <si>
    <t>realisiert/
zuerkannt</t>
  </si>
  <si>
    <t>Übersicht</t>
  </si>
  <si>
    <t>Budget lt. Bericht</t>
  </si>
  <si>
    <t>Budget bewilligt</t>
  </si>
  <si>
    <t>von BIP</t>
  </si>
  <si>
    <t>Umschichtungen</t>
  </si>
  <si>
    <t>OS BIP</t>
  </si>
  <si>
    <t>Bestätigung</t>
  </si>
  <si>
    <t xml:space="preserve">     Vertragsnummer/BM Project number:</t>
  </si>
  <si>
    <t>lt. Finanzhilfe-Vereinbarung</t>
  </si>
  <si>
    <t>Betrag lt.Vereinbarung</t>
  </si>
  <si>
    <t>Reise-/Aufenthaltskosten bereits ausbezahlt</t>
  </si>
  <si>
    <t>Name:</t>
  </si>
  <si>
    <t>Name der Abteilung:</t>
  </si>
  <si>
    <t>Bestätigung durch Finanzabteilung</t>
  </si>
  <si>
    <t>1.)</t>
  </si>
  <si>
    <t>2.)</t>
  </si>
  <si>
    <t>3.)</t>
  </si>
  <si>
    <t>4.)</t>
  </si>
  <si>
    <t>5.)</t>
  </si>
  <si>
    <t>6.)</t>
  </si>
  <si>
    <t>--&gt; Dateneingabe</t>
  </si>
  <si>
    <t>Speichern Sie diese Datei ab.</t>
  </si>
  <si>
    <t>--&gt; Ausdruck 1</t>
  </si>
  <si>
    <t>--&gt; Ausdruck 2</t>
  </si>
  <si>
    <t>&lt;-- Bitte Erasmus Code auswählen --&gt;</t>
  </si>
  <si>
    <t>=WENN(E35=0;"";"Annehmen")</t>
  </si>
  <si>
    <t>=WENN(E36=0;"";"Annehmen")</t>
  </si>
  <si>
    <t>=WENN(E37=0;"";"Annehmen")</t>
  </si>
  <si>
    <t>=WENN(E39=0;"";"Annehmen")</t>
  </si>
  <si>
    <t>Umschichtung</t>
  </si>
  <si>
    <t>E-Code</t>
  </si>
  <si>
    <t>SMS MOB real</t>
  </si>
  <si>
    <t>SMS MOB gepl</t>
  </si>
  <si>
    <t>SMS EURO real</t>
  </si>
  <si>
    <t>SMS EURO gepl</t>
  </si>
  <si>
    <t>SMS UM von SMS</t>
  </si>
  <si>
    <t>SMS UM nach SMS</t>
  </si>
  <si>
    <t>SMS UM von SMT</t>
  </si>
  <si>
    <t>SMS UM nach SMT</t>
  </si>
  <si>
    <t>SMS UM von STA</t>
  </si>
  <si>
    <t>SMS UM nach STA</t>
  </si>
  <si>
    <t>SMS UM von STT</t>
  </si>
  <si>
    <t>SMS UM nach STT</t>
  </si>
  <si>
    <t>SMS UM von OS</t>
  </si>
  <si>
    <t>SMT MOB real</t>
  </si>
  <si>
    <t>SMT MOB gepl</t>
  </si>
  <si>
    <t>SMT EURO real</t>
  </si>
  <si>
    <t>SMT EURO gepl</t>
  </si>
  <si>
    <t>SMT UM von SMT</t>
  </si>
  <si>
    <t>SMT UM nach SMT</t>
  </si>
  <si>
    <t>SMT UM von STA</t>
  </si>
  <si>
    <t>SMT UM nach STA</t>
  </si>
  <si>
    <t>SMT UM von STT</t>
  </si>
  <si>
    <t>SMT UM nach STT</t>
  </si>
  <si>
    <t>SMT UM von OS</t>
  </si>
  <si>
    <t>SMT UM von BIP</t>
  </si>
  <si>
    <t>STA MOB real</t>
  </si>
  <si>
    <t>STA MOB gepl</t>
  </si>
  <si>
    <t>STA EURO real</t>
  </si>
  <si>
    <t>STA EURO gepl</t>
  </si>
  <si>
    <t>STA UM von STA</t>
  </si>
  <si>
    <t>STA UM nach STA</t>
  </si>
  <si>
    <t>STA UM von STT</t>
  </si>
  <si>
    <t>STA UM nach STT</t>
  </si>
  <si>
    <t>STA UM von OS</t>
  </si>
  <si>
    <t>STA UM von BIP</t>
  </si>
  <si>
    <t>STT MOB real</t>
  </si>
  <si>
    <t>STT MOB gepl</t>
  </si>
  <si>
    <t>STT EURO real</t>
  </si>
  <si>
    <t>STT EURO gepl</t>
  </si>
  <si>
    <t>STT UM von STT</t>
  </si>
  <si>
    <t>STT UM nach STT</t>
  </si>
  <si>
    <t>STT UM von OS</t>
  </si>
  <si>
    <t>STT UM von BIP</t>
  </si>
  <si>
    <t>SMT UM von SMS</t>
  </si>
  <si>
    <t>SMT UM nach SMS</t>
  </si>
  <si>
    <t>STA UM von SMS</t>
  </si>
  <si>
    <t>STA UM nach SMS</t>
  </si>
  <si>
    <t>STA UM von SMT</t>
  </si>
  <si>
    <t>STA UM nach SMT</t>
  </si>
  <si>
    <t>STT UM von SMS</t>
  </si>
  <si>
    <t>STT UM nach SMS</t>
  </si>
  <si>
    <t>STT UM von SMT</t>
  </si>
  <si>
    <t>STT UM nach SMT</t>
  </si>
  <si>
    <t>STT UM von STA</t>
  </si>
  <si>
    <t>STT UM nach STA</t>
  </si>
  <si>
    <t>OS MOB gepl</t>
  </si>
  <si>
    <t>OS EURO möglich</t>
  </si>
  <si>
    <t>OS EURO Meldung</t>
  </si>
  <si>
    <t>OS UM nach SMS</t>
  </si>
  <si>
    <t>OS UM nach SMT</t>
  </si>
  <si>
    <t>OS UM nach STA</t>
  </si>
  <si>
    <t>OS UM nach STT</t>
  </si>
  <si>
    <t>InSupHEI Mob real</t>
  </si>
  <si>
    <t>InSupHEI Mob gepl</t>
  </si>
  <si>
    <t xml:space="preserve">InSupHEI EURO </t>
  </si>
  <si>
    <t>1. Auszahlung</t>
  </si>
  <si>
    <t>TR-IS aus</t>
  </si>
  <si>
    <t>OS aus</t>
  </si>
  <si>
    <t>BIP OS aus</t>
  </si>
  <si>
    <t>Summe aus</t>
  </si>
  <si>
    <t>Anteil aus</t>
  </si>
  <si>
    <t>Ausdruck1 Datum1</t>
  </si>
  <si>
    <t>Ausdruck1 Datum2</t>
  </si>
  <si>
    <t>Bitte füllen Sie das Tabellenblatt Ausdruck 1 aus.</t>
  </si>
  <si>
    <t>Bitte füllen Sie NUR die gelb hinterlegten Felder aus!</t>
  </si>
  <si>
    <t>Drucken Sie bitte Ausdruck 1 aus.</t>
  </si>
  <si>
    <t>Die Werte in Spalte K sind nur zum Gegencheck.</t>
  </si>
  <si>
    <t>Hiermit wird die Richtigkeit der oben aufgeführten, ausbezahlten Summen bestätigt.</t>
  </si>
  <si>
    <t>max. möglich €</t>
  </si>
  <si>
    <t>BIP</t>
  </si>
  <si>
    <t>diff</t>
  </si>
  <si>
    <t>für Umsch. verfügb.</t>
  </si>
  <si>
    <t>Gesamt Mobilität</t>
  </si>
  <si>
    <t>Gesamt lt. Bericht</t>
  </si>
  <si>
    <t>Saldo Umschichtungen</t>
  </si>
  <si>
    <t>Bitte füllen Sie das Tabellenblatt Ausdruck 3 aus.</t>
  </si>
  <si>
    <t>--&gt; Ausdruck 3</t>
  </si>
  <si>
    <t>A  WIEN15-K001</t>
  </si>
  <si>
    <t>A  SALZBUR03</t>
  </si>
  <si>
    <t>FP</t>
  </si>
  <si>
    <t>CFP</t>
  </si>
  <si>
    <t>SMS DUR Tag fin real</t>
  </si>
  <si>
    <t>SMS DUR Tag fin gepl</t>
  </si>
  <si>
    <t xml:space="preserve">SMS DUR Tag zero real </t>
  </si>
  <si>
    <t>SMS DUR Tag zero gepl</t>
  </si>
  <si>
    <t>SMT DUR Tag fin real</t>
  </si>
  <si>
    <t>SMT DUR Tag fin gepl</t>
  </si>
  <si>
    <t xml:space="preserve">SMT DUR Tag zero real </t>
  </si>
  <si>
    <t>SMT DUR Tag zero gepl</t>
  </si>
  <si>
    <t>STA DUR Tag fin real</t>
  </si>
  <si>
    <t>STA DUR Tag fin gepl</t>
  </si>
  <si>
    <t xml:space="preserve">STA DUR Tag zero real </t>
  </si>
  <si>
    <t>STA DUR Tag zero gepl</t>
  </si>
  <si>
    <t>STT DUR Tag fin real</t>
  </si>
  <si>
    <t>STT DUR Tag fin gepl</t>
  </si>
  <si>
    <t xml:space="preserve">STT DUR Tag zero real </t>
  </si>
  <si>
    <t>STT DUR Tag zero gepl</t>
  </si>
  <si>
    <t>Erasmus Code:</t>
  </si>
  <si>
    <t>Titel</t>
  </si>
  <si>
    <t>Anzahl Personen</t>
  </si>
  <si>
    <t>Beantragter Betrag</t>
  </si>
  <si>
    <r>
      <t xml:space="preserve">Antrag </t>
    </r>
    <r>
      <rPr>
        <b/>
        <sz val="14"/>
        <color rgb="FFFF0000"/>
        <rFont val="Calibri"/>
        <family val="2"/>
        <scheme val="minor"/>
      </rPr>
      <t>zusätzlicher</t>
    </r>
    <r>
      <rPr>
        <sz val="14"/>
        <rFont val="Calibri"/>
        <family val="2"/>
        <scheme val="minor"/>
      </rPr>
      <t xml:space="preserve"> BIPS</t>
    </r>
  </si>
  <si>
    <t>Antrag auf zusätzliche Mittel</t>
  </si>
  <si>
    <t>Zusatzmittel</t>
  </si>
  <si>
    <t>PP1</t>
  </si>
  <si>
    <t>PP1_e</t>
  </si>
  <si>
    <t>PP2</t>
  </si>
  <si>
    <t>PP2_e</t>
  </si>
  <si>
    <t>PP3_e</t>
  </si>
  <si>
    <t>PP4</t>
  </si>
  <si>
    <t>PP4_e</t>
  </si>
  <si>
    <t>PP5</t>
  </si>
  <si>
    <t>PP5_e</t>
  </si>
  <si>
    <t>PP6</t>
  </si>
  <si>
    <t>PP6_e</t>
  </si>
  <si>
    <t>PP7</t>
  </si>
  <si>
    <t>PP7_e</t>
  </si>
  <si>
    <t>PP8</t>
  </si>
  <si>
    <t>PP8_e</t>
  </si>
  <si>
    <t>PP9</t>
  </si>
  <si>
    <t>PP9_e</t>
  </si>
  <si>
    <t>PP10</t>
  </si>
  <si>
    <t>PP10_e</t>
  </si>
  <si>
    <t>FP_e</t>
  </si>
  <si>
    <t>CFP_e</t>
  </si>
  <si>
    <t>Saldo_P</t>
  </si>
  <si>
    <t>x</t>
  </si>
  <si>
    <t>Private Pädagogische Hochschule Augustinum</t>
  </si>
  <si>
    <t>FH Kärnten - gemeinnützige Gesellschaft mbH</t>
  </si>
  <si>
    <t xml:space="preserve">     ERASMUS-Code / OID:</t>
  </si>
  <si>
    <t xml:space="preserve">     Vertragsnummer|BM Project number / GZ:</t>
  </si>
  <si>
    <t xml:space="preserve">(Stand per </t>
  </si>
  <si>
    <t>)</t>
  </si>
  <si>
    <t>Anforderung weitere Vorauszahlung</t>
  </si>
  <si>
    <t>(Zahlungen berücksichtigt bis:</t>
  </si>
  <si>
    <t xml:space="preserve"> </t>
  </si>
  <si>
    <t>Summe Vorauszahlungen</t>
  </si>
  <si>
    <t>Auszahlungen durch die Hochschuleinrichtung</t>
  </si>
  <si>
    <t>Anforderung der Auszahlung i.d.H.v.</t>
  </si>
  <si>
    <t>Bestätigung Gesetzliche/r Vertreter/in der Hochschulinstitution</t>
  </si>
  <si>
    <t>Spalte1</t>
  </si>
  <si>
    <r>
      <t>Scannen Sie bitte die ausgedruckten,</t>
    </r>
    <r>
      <rPr>
        <b/>
        <sz val="11"/>
        <rFont val="Calibri"/>
        <family val="2"/>
        <scheme val="minor"/>
      </rPr>
      <t xml:space="preserve"> unterschriebenen und abgetempelten</t>
    </r>
    <r>
      <rPr>
        <sz val="11"/>
        <rFont val="Calibri"/>
        <family val="2"/>
        <scheme val="minor"/>
      </rPr>
      <t xml:space="preserve"> Seiten ein.</t>
    </r>
  </si>
  <si>
    <r>
      <t xml:space="preserve">Senden Sie diese Excel-Datei </t>
    </r>
    <r>
      <rPr>
        <b/>
        <sz val="11"/>
        <rFont val="Calibri"/>
        <family val="2"/>
        <scheme val="minor"/>
      </rPr>
      <t>und</t>
    </r>
    <r>
      <rPr>
        <sz val="11"/>
        <rFont val="Calibri"/>
        <family val="2"/>
        <scheme val="minor"/>
      </rPr>
      <t xml:space="preserve"> die Scans (bzw. elektronisch signierten pdf-Dateien) per E-Mail an hochschulbildung@oead.at.</t>
    </r>
  </si>
  <si>
    <t>Ausdruck3 Datum Finanz</t>
  </si>
  <si>
    <t>Ausdruck3 Datum1</t>
  </si>
  <si>
    <t>Ausdruck3 Datum2</t>
  </si>
  <si>
    <t>2. Auszahlung</t>
  </si>
  <si>
    <t>3. Auszahlung</t>
  </si>
  <si>
    <t>4. Auszahlung</t>
  </si>
  <si>
    <t>5. Auszahlung</t>
  </si>
  <si>
    <t>Summe Voraus</t>
  </si>
  <si>
    <t>nach InSuPart</t>
  </si>
  <si>
    <t>Inc Sup Part</t>
  </si>
  <si>
    <t>SMS nach InSuPart</t>
  </si>
  <si>
    <t>SMT nach InSuPart</t>
  </si>
  <si>
    <t>STA nach InSuPart</t>
  </si>
  <si>
    <t>STT nach InSuPart</t>
  </si>
  <si>
    <t>OS nach InSuPart</t>
  </si>
  <si>
    <t>InSuPar UM von SMS</t>
  </si>
  <si>
    <t>InSuParUM von SMT</t>
  </si>
  <si>
    <t>InSuPar UM von STA</t>
  </si>
  <si>
    <t>InSuPar UM von STT</t>
  </si>
  <si>
    <t>InSuPar UM von OS</t>
  </si>
  <si>
    <t>InSuPar UM von BIP</t>
  </si>
  <si>
    <t>3. Voraus- / Rückzahlung</t>
  </si>
  <si>
    <t>4. Voraus- / Rückzahlung</t>
  </si>
  <si>
    <t>5. Voraus- / Rückzahlung</t>
  </si>
  <si>
    <t>Drucken Sie bitte gegebenenfalls Ausdruck 2 aus (keine Übermittlung notwendig).</t>
  </si>
  <si>
    <t>SMS_t</t>
  </si>
  <si>
    <t>SMT_t</t>
  </si>
  <si>
    <t>Anzahl</t>
  </si>
  <si>
    <t>BIP SUMME</t>
  </si>
  <si>
    <t>SMS_EUR</t>
  </si>
  <si>
    <t>SMT_EUR</t>
  </si>
  <si>
    <t>STA_EUR</t>
  </si>
  <si>
    <t>STT_EUR</t>
  </si>
  <si>
    <t>BIP_15_EUR</t>
  </si>
  <si>
    <t>BIP_16_EUR</t>
  </si>
  <si>
    <t>BIP_17_EUR</t>
  </si>
  <si>
    <t>BIP_18_EUR</t>
  </si>
  <si>
    <t>BIP_19_EUR</t>
  </si>
  <si>
    <t>BIP_20_plus_EUR</t>
  </si>
  <si>
    <t>BIP_Mob</t>
  </si>
  <si>
    <t>BIP_EUR</t>
  </si>
  <si>
    <t>IncS_Part_Mob</t>
  </si>
  <si>
    <t>IncS_Part_EUR</t>
  </si>
  <si>
    <t>IncS_HEI_Mob</t>
  </si>
  <si>
    <t>IncS_HEI_EUR</t>
  </si>
  <si>
    <t>Except_Costs_EUR</t>
  </si>
  <si>
    <t>OS_EUR</t>
  </si>
  <si>
    <t>TOTAL_GRANT</t>
  </si>
  <si>
    <t>GA issued</t>
  </si>
  <si>
    <t>Amendment#</t>
  </si>
  <si>
    <t>Kontrolle EURO GA1</t>
  </si>
  <si>
    <t>Diff22</t>
  </si>
  <si>
    <t>Kontrolle Summe Zahlungen &lt;&gt; Vertrag</t>
  </si>
  <si>
    <t xml:space="preserve">Summe Zahlungen </t>
  </si>
  <si>
    <t>Saldo Zahlungen inkl aktueller Zahlung</t>
  </si>
  <si>
    <t>Zahlungen_trf</t>
  </si>
  <si>
    <t>nächste Zahlung#</t>
  </si>
  <si>
    <t>nächste Zahlung_€</t>
  </si>
  <si>
    <t>GA nach ZB#</t>
  </si>
  <si>
    <t>?????</t>
  </si>
  <si>
    <t>A  WIEN77</t>
  </si>
  <si>
    <t>E10042193</t>
  </si>
  <si>
    <t>BIP_15_ANZ</t>
  </si>
  <si>
    <t>BIP_16_ANZ</t>
  </si>
  <si>
    <t>BIP_17_ANZ</t>
  </si>
  <si>
    <t>BIP_18_ANZ</t>
  </si>
  <si>
    <t>BIP_19_ANZ</t>
  </si>
  <si>
    <t>BIP_20_plus_ANZ</t>
  </si>
  <si>
    <t>nach InSu HEI</t>
  </si>
  <si>
    <t>BIP 15 mit Mobilitäten</t>
  </si>
  <si>
    <t>BIP 16 mit Mobilitäten</t>
  </si>
  <si>
    <t>BIP 17 mit Mobilitäten</t>
  </si>
  <si>
    <t>BIP 18 mit Mobilitäten</t>
  </si>
  <si>
    <t>BIP 19 mit Mobilitäten</t>
  </si>
  <si>
    <t>BIP mit 20 und mehr Mobilitäten</t>
  </si>
  <si>
    <t>OS Typ</t>
  </si>
  <si>
    <t>Betrag</t>
  </si>
  <si>
    <t>ZB</t>
  </si>
  <si>
    <t>Stichtage</t>
  </si>
  <si>
    <t>OS Mob&lt;100</t>
  </si>
  <si>
    <t>OS Mob&gt;100</t>
  </si>
  <si>
    <t>OS IncS_HEI</t>
  </si>
  <si>
    <t>ACHTUNG: NICHT SORTIEREN</t>
  </si>
  <si>
    <t>BIP 15 Mob</t>
  </si>
  <si>
    <t>BIP 16 Mob</t>
  </si>
  <si>
    <t>BIP 17 Mob</t>
  </si>
  <si>
    <t>BIP 18 Mob</t>
  </si>
  <si>
    <t>BIP 19 Mob</t>
  </si>
  <si>
    <t>BIP 20+ Mob</t>
  </si>
  <si>
    <t>Inc Sup HEI</t>
  </si>
  <si>
    <t>Version</t>
  </si>
  <si>
    <t>#</t>
  </si>
  <si>
    <t>nach InSuHEI</t>
  </si>
  <si>
    <t>Von SMT</t>
  </si>
  <si>
    <t>PP max</t>
  </si>
  <si>
    <t>Anteil der Auszahlungen an erhaltener Vorauszahlung(en)</t>
  </si>
  <si>
    <t>1.  Z W I S C H E N B E R I C H T</t>
  </si>
  <si>
    <t>SMS UM nach InSuHei</t>
  </si>
  <si>
    <t>SMT UM nach InSuHei</t>
  </si>
  <si>
    <t>STA UM nach InSuHei</t>
  </si>
  <si>
    <t>STT UM nach InSuHei</t>
  </si>
  <si>
    <t>InSupHEI UM von SMS</t>
  </si>
  <si>
    <t>InSupHEI UM von SMT</t>
  </si>
  <si>
    <t>InSupHEI UM von STA</t>
  </si>
  <si>
    <t>InSupHEI UM von STT</t>
  </si>
  <si>
    <t>InSupHEI von BIP</t>
  </si>
  <si>
    <t>BIP15 EURO real</t>
  </si>
  <si>
    <t>BIP15 EURO gepl</t>
  </si>
  <si>
    <t>BIP15 Anzahl real</t>
  </si>
  <si>
    <t>BIP15 Anzahl gepl</t>
  </si>
  <si>
    <t>BIP16 Anzahl real</t>
  </si>
  <si>
    <t>BIP16 Anzahl gepl</t>
  </si>
  <si>
    <t>BIP16 EURO real</t>
  </si>
  <si>
    <t>BIP16 EURO gepl</t>
  </si>
  <si>
    <t>BIP17 Anzahl real</t>
  </si>
  <si>
    <t>BIP17 Anzahl gepl</t>
  </si>
  <si>
    <t>BIP17 EURO real</t>
  </si>
  <si>
    <t>BIP17 EURO gepl</t>
  </si>
  <si>
    <t>BIP18 Anzahl real</t>
  </si>
  <si>
    <t>BIP18 Anzahl gepl</t>
  </si>
  <si>
    <t>BIP18 EURO real</t>
  </si>
  <si>
    <t>BIP18 EURO gepl</t>
  </si>
  <si>
    <t>BIP19 Anzahl real</t>
  </si>
  <si>
    <t>BIP19 Anzahl gepl</t>
  </si>
  <si>
    <t>BIP19 EURO real</t>
  </si>
  <si>
    <t>BIP19 EURO gepl</t>
  </si>
  <si>
    <t>BIP20 plus Anzahl real</t>
  </si>
  <si>
    <t>BIP20 plus Anzahl gepl</t>
  </si>
  <si>
    <t>BIP20 plus EURO real</t>
  </si>
  <si>
    <t>BIP20 plus EURO gepl</t>
  </si>
  <si>
    <t>Inc Sup HEI ANTRAG EURO</t>
  </si>
  <si>
    <t>Betrag lt. Vereinbarung</t>
  </si>
  <si>
    <t>Auszahlung angefordert</t>
  </si>
  <si>
    <t>IncSup HEI</t>
  </si>
  <si>
    <t>IncSup Part</t>
  </si>
  <si>
    <t>OS Mob</t>
  </si>
  <si>
    <t>Bericht €</t>
  </si>
  <si>
    <t>bei Amendment</t>
  </si>
  <si>
    <t>Incl Sup Part</t>
  </si>
  <si>
    <t>BIP mit 15 Mobilitäten</t>
  </si>
  <si>
    <t>BIP mit 16 Mobilitäten</t>
  </si>
  <si>
    <t>BIP mit 17 Mobilitäten</t>
  </si>
  <si>
    <t>BIP mit 18 Mobilitäten</t>
  </si>
  <si>
    <t>BIP mit 19 Mobilitäten</t>
  </si>
  <si>
    <t>Drucken Sie bitte Ausdruck 3 aus.</t>
  </si>
  <si>
    <r>
      <t xml:space="preserve">Lassen Sie bitte Ausdruck </t>
    </r>
    <r>
      <rPr>
        <b/>
        <sz val="11"/>
        <rFont val="Calibri"/>
        <family val="2"/>
        <scheme val="minor"/>
      </rPr>
      <t>1</t>
    </r>
    <r>
      <rPr>
        <sz val="11"/>
        <rFont val="Calibri"/>
        <family val="2"/>
        <scheme val="minor"/>
      </rPr>
      <t xml:space="preserve"> und Ausdruck </t>
    </r>
    <r>
      <rPr>
        <b/>
        <sz val="11"/>
        <rFont val="Calibri"/>
        <family val="2"/>
        <scheme val="minor"/>
      </rPr>
      <t xml:space="preserve">3 </t>
    </r>
    <r>
      <rPr>
        <sz val="11"/>
        <rFont val="Calibri"/>
        <family val="2"/>
        <scheme val="minor"/>
      </rPr>
      <t>unterschreiben und abstempeln.</t>
    </r>
  </si>
  <si>
    <t>Bitte füllen Sie das Tabellenblatt Dateneingabe Mobilitäten aus.</t>
  </si>
  <si>
    <t>Stella Vorarlberg Privathochschule für Musik GmbH</t>
  </si>
  <si>
    <t>Friedrich Gulda School of Music Wien</t>
  </si>
  <si>
    <t>Call 2023</t>
  </si>
  <si>
    <t>2023-1-AT01-KA131-HED-000146790</t>
  </si>
  <si>
    <t>292/002/23</t>
  </si>
  <si>
    <t>2023-1-AT01-KA131-HED-000123127</t>
  </si>
  <si>
    <t>292/003/23</t>
  </si>
  <si>
    <t>2023-1-AT01-KA131-HED-000119259</t>
  </si>
  <si>
    <t>292/004/23</t>
  </si>
  <si>
    <t>2023-1-AT01-KA131-HED-000113539</t>
  </si>
  <si>
    <t>292/005/23</t>
  </si>
  <si>
    <t>2023-1-AT01-KA131-HED-000117027</t>
  </si>
  <si>
    <t>292/006/23</t>
  </si>
  <si>
    <t>2023-1-AT01-KA131-HED-000117368</t>
  </si>
  <si>
    <t>292/007/23</t>
  </si>
  <si>
    <t>2023-1-AT01-KA131-HED-000140090</t>
  </si>
  <si>
    <t>292/008/23</t>
  </si>
  <si>
    <t>2023-1-AT01-KA131-HED-000115703</t>
  </si>
  <si>
    <t>292/009/23</t>
  </si>
  <si>
    <t>2023-1-AT01-KA131-HED-000116973</t>
  </si>
  <si>
    <t>292/010/23</t>
  </si>
  <si>
    <t>2023-1-AT01-KA131-HED-000135675</t>
  </si>
  <si>
    <t>292/011/23</t>
  </si>
  <si>
    <t>2023-1-AT01-KA131-HED-000114151</t>
  </si>
  <si>
    <t>292/012/23</t>
  </si>
  <si>
    <t>2023-1-AT01-KA131-HED-000137769</t>
  </si>
  <si>
    <t>292/013/23</t>
  </si>
  <si>
    <t>2023-1-AT01-KA131-HED-000120060</t>
  </si>
  <si>
    <t>292/014/23</t>
  </si>
  <si>
    <t>2023-1-AT01-KA131-HED-000114358</t>
  </si>
  <si>
    <t>292/015/23</t>
  </si>
  <si>
    <t>2023-1-AT01-KA131-HED-000115489</t>
  </si>
  <si>
    <t>292/016/23</t>
  </si>
  <si>
    <t>2023-1-AT01-KA131-HED-000121100</t>
  </si>
  <si>
    <t>292/017/23</t>
  </si>
  <si>
    <t>2023-1-AT01-KA131-HED-000128727</t>
  </si>
  <si>
    <t>292/018/23</t>
  </si>
  <si>
    <t>2023-1-AT01-KA131-HED-000125850</t>
  </si>
  <si>
    <t>292/019/23</t>
  </si>
  <si>
    <t>2023-1-AT01-KA131-HED-000114136</t>
  </si>
  <si>
    <t>292/020/23</t>
  </si>
  <si>
    <t>UMIT TIROL - Private Universität für Gesundheitswissenschaften und -technologie GmbH</t>
  </si>
  <si>
    <t>E10209122</t>
  </si>
  <si>
    <t>2023-1-AT01-KA131-HED-000114037</t>
  </si>
  <si>
    <t>292/021/23</t>
  </si>
  <si>
    <t>2023-1-AT01-KA131-HED-000125705</t>
  </si>
  <si>
    <t>292/022/23</t>
  </si>
  <si>
    <t>2023-1-AT01-KA131-HED-000117217</t>
  </si>
  <si>
    <t>292/023/23</t>
  </si>
  <si>
    <t>2023-1-AT01-KA131-HED-000136061</t>
  </si>
  <si>
    <t>292/024/23</t>
  </si>
  <si>
    <t>E10035612</t>
  </si>
  <si>
    <t>2023-1-AT01-KA131-HED-000115544</t>
  </si>
  <si>
    <t>292/025/23</t>
  </si>
  <si>
    <t>2023-1-AT01-KA131-HED-000135566</t>
  </si>
  <si>
    <t>292/026/23</t>
  </si>
  <si>
    <t>2023-1-AT01-KA131-HED-000137020</t>
  </si>
  <si>
    <t>292/027/23</t>
  </si>
  <si>
    <t>2023-1-AT01-KA131-HED-000139454</t>
  </si>
  <si>
    <t>292/028/23</t>
  </si>
  <si>
    <t>2023-1-AT01-KA131-HED-000126434</t>
  </si>
  <si>
    <t>292/029/23</t>
  </si>
  <si>
    <t>2023-1-AT01-KA131-HED-000114119</t>
  </si>
  <si>
    <t>292/030/23</t>
  </si>
  <si>
    <t>2023-1-AT01-KA131-HED-000139470</t>
  </si>
  <si>
    <t>292/031/23</t>
  </si>
  <si>
    <t>2023-1-AT01-KA131-HED-000118841</t>
  </si>
  <si>
    <t>292/032/23</t>
  </si>
  <si>
    <t>2023-1-AT01-KA131-HED-000118350</t>
  </si>
  <si>
    <t>292/033/23</t>
  </si>
  <si>
    <t>2023-1-AT01-KA131-HED-000119913</t>
  </si>
  <si>
    <t>292/034/23</t>
  </si>
  <si>
    <t>2023-1-AT01-KA131-HED-000116462</t>
  </si>
  <si>
    <t>292/035/23</t>
  </si>
  <si>
    <t>2023-1-AT01-KA131-HED-000117188</t>
  </si>
  <si>
    <t>292/036/23</t>
  </si>
  <si>
    <t>2023-1-AT01-KA131-HED-000141753</t>
  </si>
  <si>
    <t>292/037/23</t>
  </si>
  <si>
    <t>2023-1-AT01-KA131-HED-000120615</t>
  </si>
  <si>
    <t>292/038/23</t>
  </si>
  <si>
    <t>2023-1-AT01-KA131-HED-000118768</t>
  </si>
  <si>
    <t>292/039/23</t>
  </si>
  <si>
    <t>2023-1-AT01-KA131-HED-000117262</t>
  </si>
  <si>
    <t>292/040/23</t>
  </si>
  <si>
    <t>2023-1-AT01-KA131-HED-000115580</t>
  </si>
  <si>
    <t>292/041/23</t>
  </si>
  <si>
    <t>2023-1-AT01-KA131-HED-000125529</t>
  </si>
  <si>
    <t>292/042/23</t>
  </si>
  <si>
    <t>2023-1-AT01-KA131-HED-000132083</t>
  </si>
  <si>
    <t>292/043/23</t>
  </si>
  <si>
    <t>2023-1-AT01-KA131-HED-000126800</t>
  </si>
  <si>
    <t>292/044/23</t>
  </si>
  <si>
    <t>PARACELSUS MEDIZINISCHE PRIVATUNIVERSITÄT SALZBURG - PRIVATSTIFTUNG</t>
  </si>
  <si>
    <t>2023-1-AT01-KA131-HED-000119966</t>
  </si>
  <si>
    <t>292/045/23</t>
  </si>
  <si>
    <t>2023-1-AT01-KA131-HED-000115288</t>
  </si>
  <si>
    <t>292/046/23</t>
  </si>
  <si>
    <t>2023-1-AT01-KA131-HED-000129930</t>
  </si>
  <si>
    <t>292/047/23</t>
  </si>
  <si>
    <t>2023-1-AT01-KA131-HED-000117022</t>
  </si>
  <si>
    <t>292/048/23</t>
  </si>
  <si>
    <t>A  ST-POLT11</t>
  </si>
  <si>
    <t>Bertha von Suttner Privatuniversität St. Pölten GmbH</t>
  </si>
  <si>
    <t>E10313308</t>
  </si>
  <si>
    <t>2023-1-AT01-KA131-HED-000125978</t>
  </si>
  <si>
    <t>292/049/23</t>
  </si>
  <si>
    <t>2023-1-AT01-KA131-HED-000119446</t>
  </si>
  <si>
    <t>292/050/23</t>
  </si>
  <si>
    <t>2023-1-AT01-KA131-HED-000117333</t>
  </si>
  <si>
    <t>292/051/23</t>
  </si>
  <si>
    <t>2023-1-AT01-KA131-HED-000122214</t>
  </si>
  <si>
    <t>292/052/23</t>
  </si>
  <si>
    <t>2023-1-AT01-KA131-HED-000114274</t>
  </si>
  <si>
    <t>292/053/23</t>
  </si>
  <si>
    <t>2023-1-AT01-KA131-HED-000114786</t>
  </si>
  <si>
    <t>292/054/23</t>
  </si>
  <si>
    <t>2023-1-AT01-KA131-HED-000125691</t>
  </si>
  <si>
    <t>292/055/23</t>
  </si>
  <si>
    <t>2023-1-AT01-KA131-HED-000113208</t>
  </si>
  <si>
    <t>292/056/23</t>
  </si>
  <si>
    <t>2023-1-AT01-KA131-HED-000113967</t>
  </si>
  <si>
    <t>292/057/23</t>
  </si>
  <si>
    <t>2023-1-AT01-KA131-HED-000117447</t>
  </si>
  <si>
    <t>292/058/23</t>
  </si>
  <si>
    <t>2023-1-AT01-KA131-HED-000113905</t>
  </si>
  <si>
    <t>292/059/23</t>
  </si>
  <si>
    <t>2023-1-AT01-KA131-HED-000143077</t>
  </si>
  <si>
    <t>292/060/23</t>
  </si>
  <si>
    <t>2023-1-AT01-KA131-HED-000125496</t>
  </si>
  <si>
    <t>292/061/23</t>
  </si>
  <si>
    <t>2023-1-AT01-KA131-HED-000126774</t>
  </si>
  <si>
    <t>292/062/23</t>
  </si>
  <si>
    <t>2023-1-AT01-KA131-HED-000114314</t>
  </si>
  <si>
    <t>292/063/23</t>
  </si>
  <si>
    <t>2023-1-AT01-KA131-HED-000132486</t>
  </si>
  <si>
    <t>292/064/23</t>
  </si>
  <si>
    <t>2023-1-AT01-KA131-HED-000120164</t>
  </si>
  <si>
    <t>292/065/23</t>
  </si>
  <si>
    <t>2023-1-AT01-KA131-HED-000139983</t>
  </si>
  <si>
    <t>292/066/23</t>
  </si>
  <si>
    <t>2023-1-AT01-KA131-HED-000115564</t>
  </si>
  <si>
    <t>292/067/23</t>
  </si>
  <si>
    <t>2023-1-AT01-KA131-HED-000119659</t>
  </si>
  <si>
    <t>292/068/23</t>
  </si>
  <si>
    <t>2023-1-AT01-KA131-HED-000114341</t>
  </si>
  <si>
    <t>292/069/23</t>
  </si>
  <si>
    <t>2023-1-AT01-KA131-HED-000126638</t>
  </si>
  <si>
    <t>292/070/23</t>
  </si>
  <si>
    <t>2023-1-AT01-KA131-HED-000127234</t>
  </si>
  <si>
    <t>292/071/23</t>
  </si>
  <si>
    <t>2023-1-AT01-KA131-HED-000140327</t>
  </si>
  <si>
    <t>292/072/23</t>
  </si>
  <si>
    <t>2023-1-AT01-KA131-HED-000136920</t>
  </si>
  <si>
    <t>292/073/23</t>
  </si>
  <si>
    <t>E10047841</t>
  </si>
  <si>
    <t>2023-1-AT01-KA131-HED-000132920</t>
  </si>
  <si>
    <t>292/074/23</t>
  </si>
  <si>
    <t>2023-1-AT01-KA131-HED-000132922</t>
  </si>
  <si>
    <t>292/075/23</t>
  </si>
  <si>
    <t>2023-1-AT01-KA131-HED-000146547</t>
  </si>
  <si>
    <t>292/076/23</t>
  </si>
  <si>
    <t>2023-1-AT01-KA131-HED-000117894</t>
  </si>
  <si>
    <t>292/077/23</t>
  </si>
  <si>
    <t>2023-1-AT01-KA131-HED-000114892</t>
  </si>
  <si>
    <t>292/078/23</t>
  </si>
  <si>
    <t>nach OS</t>
  </si>
  <si>
    <t>nach BIP</t>
  </si>
  <si>
    <t>Kommentarspalte</t>
  </si>
  <si>
    <t>Mob für Berechnung</t>
  </si>
  <si>
    <t>i41</t>
  </si>
  <si>
    <t>i42</t>
  </si>
  <si>
    <t>i43</t>
  </si>
  <si>
    <t>i44</t>
  </si>
  <si>
    <t>i45</t>
  </si>
  <si>
    <t>via Umschichtungen €</t>
  </si>
  <si>
    <t>Summe Mobilitäten</t>
  </si>
  <si>
    <t>Summe €</t>
  </si>
  <si>
    <t>via Umsch.  Mobilitäten</t>
  </si>
  <si>
    <t>InSuPart</t>
  </si>
  <si>
    <t>verfügbar</t>
  </si>
  <si>
    <t>Rückgabe von Mittel</t>
  </si>
  <si>
    <t>Rückgabe</t>
  </si>
  <si>
    <t>Antrag auf Zusatzmittel / Rückgabe</t>
  </si>
  <si>
    <t>Änderung</t>
  </si>
  <si>
    <t>Antrag Zusatz</t>
  </si>
  <si>
    <t>via Umschichtungen</t>
  </si>
  <si>
    <t>-</t>
  </si>
  <si>
    <t>BIPs gesamt</t>
  </si>
  <si>
    <t>Hiermit werden die in diesem Zwischenbericht gemachten Angaben zur Anzahl der Mobilitäten, der Dauer, dem Budget und den ausbezahlten Summen zu dem oben angeführten Datumsangaben bestätigt.</t>
  </si>
  <si>
    <t>Begründung für Umschichtung von mehr als 10% von Studierendenmobilität zu Personalmobilität:</t>
  </si>
  <si>
    <t>Begründung für Umschichtung nach OS (Mobilitäten oder BIP):</t>
  </si>
  <si>
    <t>Begründung für Umschichtung von mehr als 10% von Studierendenmobilität zu Personalmobilität (max. 1000 Zeichen):</t>
  </si>
  <si>
    <t>Begründung für Umschichtung nach OS (Mobilitäten oder BIP), (max. 1000 Zeichen):</t>
  </si>
  <si>
    <t>Aufwendungen aus OS Mittel für BIPs bereits ausbezahlt</t>
  </si>
  <si>
    <t>Stefan Fitz-Rankl</t>
  </si>
  <si>
    <t>Sabine Weisz</t>
  </si>
  <si>
    <t>Georg Pehm</t>
  </si>
  <si>
    <t>Franz Steindl</t>
  </si>
  <si>
    <t>Gernot Brauchle</t>
  </si>
  <si>
    <t>Jörg Maria Ortwein</t>
  </si>
  <si>
    <t>Mireille van Poppel</t>
  </si>
  <si>
    <t>Stefan Vorbach</t>
  </si>
  <si>
    <t>Georg Schulz</t>
  </si>
  <si>
    <t>Beatrix Karl</t>
  </si>
  <si>
    <t>Andrea Seel</t>
  </si>
  <si>
    <t xml:space="preserve">Corinna Engelhardt-Nowitzki </t>
  </si>
  <si>
    <t>Martin Payer</t>
  </si>
  <si>
    <t>Kristina Edlinger-Ploder</t>
  </si>
  <si>
    <t>Erich Brugger</t>
  </si>
  <si>
    <t>Sabine Vogl</t>
  </si>
  <si>
    <t>Caroline Schober</t>
  </si>
  <si>
    <t>Barbara Tasser</t>
  </si>
  <si>
    <t>Regine Mathies</t>
  </si>
  <si>
    <t>Andreas Altmann</t>
  </si>
  <si>
    <t>Petra Steinmair-Pösel</t>
  </si>
  <si>
    <t>Sandra Ückert</t>
  </si>
  <si>
    <t>W. Wolfgang Fleischhacker</t>
  </si>
  <si>
    <t>Walter Draxl</t>
  </si>
  <si>
    <t>Doris Hattenberger</t>
  </si>
  <si>
    <t>Sven Fisler</t>
  </si>
  <si>
    <t>Jakob Gruchmann-Bernau</t>
  </si>
  <si>
    <t>Martin Hetzer</t>
  </si>
  <si>
    <t>Ulrike Prommer</t>
  </si>
  <si>
    <t>Friedrich Faulhammer</t>
  </si>
  <si>
    <t>Rudolf Mallinger</t>
  </si>
  <si>
    <t>Sabine Siegl</t>
  </si>
  <si>
    <t>Thomas Madritsch</t>
  </si>
  <si>
    <t>Peter Moser</t>
  </si>
  <si>
    <t>Stefan Koch</t>
  </si>
  <si>
    <t>Brigitte Vasicek</t>
  </si>
  <si>
    <t>Walter Vogel</t>
  </si>
  <si>
    <t>Franz Keplinger</t>
  </si>
  <si>
    <t>Christoph Niemand</t>
  </si>
  <si>
    <t>Martin Rummel</t>
  </si>
  <si>
    <t>Bettina Schneebauer</t>
  </si>
  <si>
    <t>Hendrik Lehnert</t>
  </si>
  <si>
    <t>Elisabeth Gutjahr</t>
  </si>
  <si>
    <t>Daniela Martinek</t>
  </si>
  <si>
    <t>Dominik Engel</t>
  </si>
  <si>
    <t>Alexandra Zaby</t>
  </si>
  <si>
    <t>Lydia Gruber</t>
  </si>
  <si>
    <t>Wolfgang Sperl</t>
  </si>
  <si>
    <t>Peter Granig</t>
  </si>
  <si>
    <t>Johann Haag</t>
  </si>
  <si>
    <t>Hannes Raffaseder</t>
  </si>
  <si>
    <t>Johannes Zederbauer</t>
  </si>
  <si>
    <t>Herbert Grüner</t>
  </si>
  <si>
    <t>Peter Pantucek-Eisenbacher</t>
  </si>
  <si>
    <t>Olivia Kaiser</t>
  </si>
  <si>
    <t>Regina Aichinger</t>
  </si>
  <si>
    <t>Manuela Baccarini</t>
  </si>
  <si>
    <t>Kurt Matyas</t>
  </si>
  <si>
    <t>Doris  Damyanovic</t>
  </si>
  <si>
    <t>Petra WINTER</t>
  </si>
  <si>
    <t>Margarethe Rammerstorfer</t>
  </si>
  <si>
    <t>Johan Hartle</t>
  </si>
  <si>
    <t>Gerald Bast</t>
  </si>
  <si>
    <t>Johannes MEISSL</t>
  </si>
  <si>
    <t>Norbert Kraker</t>
  </si>
  <si>
    <t>Hubert Philipp Weber</t>
  </si>
  <si>
    <t>Thomas Haase</t>
  </si>
  <si>
    <t>Agnes Kriz</t>
  </si>
  <si>
    <t>Florian Eckkrammer</t>
  </si>
  <si>
    <t>Michael Heritsch</t>
  </si>
  <si>
    <t>Eva Schiessl-Foggensteiner</t>
  </si>
  <si>
    <t>Andreas Mailath-Pokorny</t>
  </si>
  <si>
    <t>Wilhelm Behensky</t>
  </si>
  <si>
    <t>Horst Rode</t>
  </si>
  <si>
    <t>Michaela Fritz</t>
  </si>
  <si>
    <t>Karl Woeber</t>
  </si>
  <si>
    <t>Alfred Pritz</t>
  </si>
  <si>
    <t>Alexander Zirkler</t>
  </si>
  <si>
    <t>Ernst Ritsch</t>
  </si>
  <si>
    <t>Johannes Pollak</t>
  </si>
  <si>
    <t>Marcus Ratka</t>
  </si>
  <si>
    <t>Ulrike Plettenbacher</t>
  </si>
  <si>
    <t>Zsuzsanna Gabor</t>
  </si>
  <si>
    <t>Peter Erlacher</t>
  </si>
  <si>
    <t>Helmut Pfeffer</t>
  </si>
  <si>
    <t>Jürgen WÖRGÖTTER</t>
  </si>
  <si>
    <t>Erwin Rauscher</t>
  </si>
  <si>
    <t>i</t>
  </si>
  <si>
    <t>PP3</t>
  </si>
  <si>
    <t>Saldo Zahlungen inkl aktueller Zahlung Amendment</t>
  </si>
  <si>
    <t>Saldo_P Inclusion</t>
  </si>
  <si>
    <t>Saldo_P OHNE Inclusion</t>
  </si>
  <si>
    <t>nächste Vorauszahlung</t>
  </si>
  <si>
    <t>ERASMUS+</t>
  </si>
  <si>
    <t>MOBILITÄTSPROJEKTE FÜR STUDIERENDE UND HOCHSCHULPERSONAL (KA131)</t>
  </si>
  <si>
    <t>Aufwendungen aus OS Mittel (Mobilität) &amp; InSuHEI bereits ausbezahlt</t>
  </si>
  <si>
    <t>Aufwendungen aus Inclusion Support for Participants bereits ausbezahlt</t>
  </si>
  <si>
    <t xml:space="preserve">7.) </t>
  </si>
  <si>
    <t>8.)</t>
  </si>
  <si>
    <t xml:space="preserve">9.) </t>
  </si>
  <si>
    <t>Alternativ zu 5.) - 9.) können erzeugte pdf-Dateien auch mit den jeweiligen qualifizierten elektronischen Signaturen (z.B. Handysignatur) versehen werden.</t>
  </si>
  <si>
    <t>10)</t>
  </si>
  <si>
    <t>SMS nach OS</t>
  </si>
  <si>
    <t>SMS von BIP</t>
  </si>
  <si>
    <t>SMS nach BIP</t>
  </si>
  <si>
    <t>SMT UM nach OS</t>
  </si>
  <si>
    <t>SMT UM nach BIP</t>
  </si>
  <si>
    <t>STA UM nach OS</t>
  </si>
  <si>
    <t>STA UM nach BIP</t>
  </si>
  <si>
    <t>STT UM nach OS</t>
  </si>
  <si>
    <t>STT UM nach BIP</t>
  </si>
  <si>
    <t>InSuPar V MOB real</t>
  </si>
  <si>
    <t>InSuPar V EURO real</t>
  </si>
  <si>
    <t>InSuPar U MOB real</t>
  </si>
  <si>
    <t>InSuPar U EURO real</t>
  </si>
  <si>
    <t>InSuPar U MOB gepl</t>
  </si>
  <si>
    <t>InSuPar U EURO gepl</t>
  </si>
  <si>
    <t>OS UM von SMS</t>
  </si>
  <si>
    <t>OS UM von SMT</t>
  </si>
  <si>
    <t>OS UM von STA</t>
  </si>
  <si>
    <t>OS UM von STT</t>
  </si>
  <si>
    <t>OS nach InSuHEI</t>
  </si>
  <si>
    <t>OS von BIP</t>
  </si>
  <si>
    <t>OS nach BIP</t>
  </si>
  <si>
    <t>InSupHEI UM von OS</t>
  </si>
  <si>
    <t>BIP UM von SMS</t>
  </si>
  <si>
    <t>BIP UM nach SMS</t>
  </si>
  <si>
    <t>BIP UM nach SMT</t>
  </si>
  <si>
    <t>BIP UM nach STA</t>
  </si>
  <si>
    <t>BIP UM nach STT</t>
  </si>
  <si>
    <t>BIP nach InSuPart</t>
  </si>
  <si>
    <t>BIP nach InSuHEI</t>
  </si>
  <si>
    <t>BIP UM von SMT</t>
  </si>
  <si>
    <t>BIP UM von STA</t>
  </si>
  <si>
    <t>BIP UM von STT</t>
  </si>
  <si>
    <t>BIP von OS</t>
  </si>
  <si>
    <t>BIP nach OS</t>
  </si>
  <si>
    <t>SMS Zusatz EURO</t>
  </si>
  <si>
    <t>SMS Rückgabe EURO</t>
  </si>
  <si>
    <t>SMT Zusatz EURO</t>
  </si>
  <si>
    <t>SMT Rückgabe EURO</t>
  </si>
  <si>
    <t>STA Zusatz EURO</t>
  </si>
  <si>
    <t>STA Rückgabe EURO</t>
  </si>
  <si>
    <t>STT Zusatz EURO</t>
  </si>
  <si>
    <t>STT Rückgabe EURO</t>
  </si>
  <si>
    <t>Inc Sup Part Rückgabe Euro</t>
  </si>
  <si>
    <t>OS Zusatz EURO</t>
  </si>
  <si>
    <t>OS Rückgabe EURO</t>
  </si>
  <si>
    <t>beansprucht €</t>
  </si>
  <si>
    <t>davon für OS €</t>
  </si>
  <si>
    <t>daher für Umschichtung verfügbar €</t>
  </si>
  <si>
    <t>Zeichen:</t>
  </si>
  <si>
    <t>ZS Mobilitäten</t>
  </si>
  <si>
    <t>Bericht
Gesamt</t>
  </si>
  <si>
    <t>via Zusatzvereinbarung €</t>
  </si>
  <si>
    <t>via Zusatzvereinbarung</t>
  </si>
  <si>
    <t>für Umschichtung zur Verfügung €</t>
  </si>
  <si>
    <t>Bisherige Zahlungsbewegungen NA &lt;&gt; HEI</t>
  </si>
  <si>
    <t>OS MOB real</t>
  </si>
  <si>
    <t>OS für OS</t>
  </si>
  <si>
    <t>BIP Zusatz EURO</t>
  </si>
  <si>
    <t>BIP Rückgabe €</t>
  </si>
  <si>
    <t>IncSuPart aus</t>
  </si>
  <si>
    <t>Anmerkung BIP</t>
  </si>
  <si>
    <t>Begründung 10 Prozent</t>
  </si>
  <si>
    <t>Begründung Um zu OS</t>
  </si>
  <si>
    <t>Name Abteilung</t>
  </si>
  <si>
    <t>Ben_InRe1-KA131_Call2023_v2023-09-14_frei_mgr</t>
  </si>
  <si>
    <r>
      <t>von OS</t>
    </r>
    <r>
      <rPr>
        <vertAlign val="subscript"/>
        <sz val="8"/>
        <rFont val="Calibri"/>
        <family val="2"/>
        <scheme val="minor"/>
      </rPr>
      <t>Mob</t>
    </r>
  </si>
  <si>
    <r>
      <t>nach OS</t>
    </r>
    <r>
      <rPr>
        <vertAlign val="subscript"/>
        <sz val="8"/>
        <rFont val="Calibri"/>
        <family val="2"/>
        <scheme val="minor"/>
      </rPr>
      <t>Mob</t>
    </r>
  </si>
  <si>
    <r>
      <t>OS</t>
    </r>
    <r>
      <rPr>
        <vertAlign val="subscript"/>
        <sz val="10"/>
        <rFont val="Calibri"/>
        <family val="2"/>
        <scheme val="minor"/>
      </rPr>
      <t>Mob</t>
    </r>
  </si>
  <si>
    <r>
      <t>BIP (OS</t>
    </r>
    <r>
      <rPr>
        <vertAlign val="subscript"/>
        <sz val="10"/>
        <rFont val="Calibri"/>
        <family val="2"/>
        <scheme val="minor"/>
      </rPr>
      <t>BIP)</t>
    </r>
  </si>
  <si>
    <r>
      <t>von OS</t>
    </r>
    <r>
      <rPr>
        <vertAlign val="subscript"/>
        <sz val="10"/>
        <rFont val="Calibri"/>
        <family val="2"/>
        <scheme val="minor"/>
      </rPr>
      <t>MOB</t>
    </r>
  </si>
  <si>
    <r>
      <t>nach OS</t>
    </r>
    <r>
      <rPr>
        <vertAlign val="subscript"/>
        <sz val="10"/>
        <rFont val="Calibri"/>
        <family val="2"/>
        <scheme val="minor"/>
      </rPr>
      <t>MOB</t>
    </r>
  </si>
  <si>
    <r>
      <t>OS</t>
    </r>
    <r>
      <rPr>
        <b/>
        <vertAlign val="subscript"/>
        <sz val="10"/>
        <rFont val="Calibri"/>
        <family val="2"/>
        <scheme val="minor"/>
      </rPr>
      <t>Mob</t>
    </r>
  </si>
  <si>
    <r>
      <t>BIP (OS</t>
    </r>
    <r>
      <rPr>
        <b/>
        <vertAlign val="subscript"/>
        <sz val="10"/>
        <rFont val="Calibri"/>
        <family val="2"/>
        <scheme val="minor"/>
      </rPr>
      <t>BIP</t>
    </r>
    <r>
      <rPr>
        <b/>
        <sz val="10"/>
        <rFont val="Calibri"/>
        <family val="2"/>
        <scheme val="minor"/>
      </rPr>
      <t>)</t>
    </r>
  </si>
  <si>
    <r>
      <t>ZS BIPS (OS</t>
    </r>
    <r>
      <rPr>
        <b/>
        <vertAlign val="subscript"/>
        <sz val="10"/>
        <rFont val="Calibri"/>
        <family val="2"/>
        <scheme val="minor"/>
      </rPr>
      <t>BIP</t>
    </r>
    <r>
      <rPr>
        <b/>
        <sz val="10"/>
        <rFont val="Calibri"/>
        <family val="2"/>
        <scheme val="minor"/>
      </rPr>
      <t>)</t>
    </r>
  </si>
  <si>
    <r>
      <t>BIPs (OS</t>
    </r>
    <r>
      <rPr>
        <vertAlign val="subscript"/>
        <sz val="10"/>
        <rFont val="Calibri"/>
        <family val="2"/>
        <scheme val="minor"/>
      </rPr>
      <t>BIP</t>
    </r>
    <r>
      <rPr>
        <sz val="10"/>
        <rFont val="Calibri"/>
        <family val="2"/>
        <scheme val="minor"/>
      </rPr>
      <t>) gesamt</t>
    </r>
  </si>
  <si>
    <r>
      <t>OS</t>
    </r>
    <r>
      <rPr>
        <b/>
        <vertAlign val="subscript"/>
        <sz val="9"/>
        <rFont val="Calibri"/>
        <family val="2"/>
        <scheme val="minor"/>
      </rPr>
      <t>Mob</t>
    </r>
  </si>
  <si>
    <t>1.1.0.e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</si>
</sst>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_ ;\-#,##0.00\ "/>
    <numFmt numFmtId="165" formatCode="\(\+#,##0.00\);\(\-#,##0.00\)"/>
    <numFmt numFmtId="166" formatCode="_-* #,##0_-;\-* #,##0_-;_-* &quot;-&quot;??_-;_-@_-"/>
    <numFmt numFmtId="167" formatCode="0.0000000000000000000"/>
  </numFmts>
  <fonts count="57" x14ac:knownFonts="1">
    <font>
      <sz val="10"/>
      <name val="Arial"/>
    </font>
    <font>
      <sz val="8"/>
      <name val="Arial"/>
      <family val="2"/>
    </font>
    <font>
      <sz val="11"/>
      <color theme="1"/>
      <name val="Calibri"/>
      <family val="2"/>
      <charset val="238"/>
      <scheme val="minor"/>
    </font>
    <font>
      <sz val="10"/>
      <name val="Arial"/>
      <family val="2"/>
    </font>
    <font>
      <b/>
      <sz val="10"/>
      <name val="Arial"/>
      <family val="2"/>
    </font>
    <font>
      <sz val="10"/>
      <name val="Calibri"/>
      <family val="2"/>
      <scheme val="minor"/>
    </font>
    <font>
      <b/>
      <sz val="10"/>
      <name val="Calibri"/>
      <family val="2"/>
      <scheme val="minor"/>
    </font>
    <font>
      <b/>
      <sz val="12"/>
      <name val="Calibri"/>
      <family val="2"/>
      <scheme val="minor"/>
    </font>
    <font>
      <sz val="7"/>
      <name val="Calibri"/>
      <family val="2"/>
      <scheme val="minor"/>
    </font>
    <font>
      <sz val="10"/>
      <name val="Arial"/>
      <family val="2"/>
    </font>
    <font>
      <sz val="11"/>
      <color rgb="FFFF0000"/>
      <name val="Calibri"/>
      <family val="2"/>
      <charset val="238"/>
      <scheme val="minor"/>
    </font>
    <font>
      <sz val="11"/>
      <color theme="1"/>
      <name val="Calibri"/>
      <family val="2"/>
      <scheme val="minor"/>
    </font>
    <font>
      <sz val="8"/>
      <name val="Calibri"/>
      <family val="2"/>
      <scheme val="minor"/>
    </font>
    <font>
      <sz val="9"/>
      <color indexed="81"/>
      <name val="Segoe UI"/>
      <family val="2"/>
    </font>
    <font>
      <b/>
      <sz val="9"/>
      <color indexed="81"/>
      <name val="Segoe UI"/>
      <family val="2"/>
    </font>
    <font>
      <sz val="8"/>
      <name val="Arial"/>
      <family val="2"/>
    </font>
    <font>
      <sz val="6"/>
      <name val="Calibri"/>
      <family val="2"/>
      <scheme val="minor"/>
    </font>
    <font>
      <b/>
      <sz val="14"/>
      <name val="Calibri"/>
      <family val="2"/>
      <scheme val="minor"/>
    </font>
    <font>
      <sz val="11"/>
      <name val="Calibri"/>
      <family val="2"/>
      <scheme val="minor"/>
    </font>
    <font>
      <b/>
      <sz val="11"/>
      <name val="Calibri"/>
      <family val="2"/>
      <scheme val="minor"/>
    </font>
    <font>
      <u/>
      <sz val="10"/>
      <color theme="10"/>
      <name val="Arial"/>
      <family val="2"/>
    </font>
    <font>
      <sz val="10"/>
      <color theme="0" tint="-0.499984740745262"/>
      <name val="Calibri"/>
      <family val="2"/>
      <scheme val="minor"/>
    </font>
    <font>
      <sz val="10"/>
      <color theme="0"/>
      <name val="Calibri"/>
      <family val="2"/>
      <scheme val="minor"/>
    </font>
    <font>
      <u/>
      <sz val="11"/>
      <color theme="10"/>
      <name val="Calibri"/>
      <family val="2"/>
      <scheme val="minor"/>
    </font>
    <font>
      <sz val="9"/>
      <name val="Calibri"/>
      <family val="2"/>
      <scheme val="minor"/>
    </font>
    <font>
      <sz val="10"/>
      <color theme="1" tint="0.34998626667073579"/>
      <name val="Calibri"/>
      <family val="2"/>
      <scheme val="minor"/>
    </font>
    <font>
      <sz val="8"/>
      <color theme="1" tint="0.34998626667073579"/>
      <name val="Calibri"/>
      <family val="2"/>
      <scheme val="minor"/>
    </font>
    <font>
      <u/>
      <sz val="10"/>
      <name val="Calibri"/>
      <family val="2"/>
      <scheme val="minor"/>
    </font>
    <font>
      <b/>
      <sz val="9"/>
      <name val="Calibri"/>
      <family val="2"/>
      <scheme val="minor"/>
    </font>
    <font>
      <u/>
      <sz val="9"/>
      <color theme="10"/>
      <name val="Calibri"/>
      <family val="2"/>
      <scheme val="minor"/>
    </font>
    <font>
      <sz val="14"/>
      <name val="Calibri"/>
      <family val="2"/>
      <scheme val="minor"/>
    </font>
    <font>
      <b/>
      <sz val="14"/>
      <color rgb="FFFF0000"/>
      <name val="Calibri"/>
      <family val="2"/>
      <scheme val="minor"/>
    </font>
    <font>
      <sz val="10"/>
      <color theme="1"/>
      <name val="Calibri"/>
      <family val="2"/>
      <scheme val="minor"/>
    </font>
    <font>
      <b/>
      <sz val="11"/>
      <color theme="1"/>
      <name val="Calibri"/>
      <family val="2"/>
      <charset val="238"/>
      <scheme val="minor"/>
    </font>
    <font>
      <b/>
      <sz val="11"/>
      <name val="Calibri"/>
      <family val="2"/>
      <charset val="238"/>
      <scheme val="minor"/>
    </font>
    <font>
      <b/>
      <sz val="11"/>
      <color theme="0"/>
      <name val="Calibri"/>
      <family val="2"/>
      <charset val="238"/>
      <scheme val="minor"/>
    </font>
    <font>
      <sz val="11"/>
      <color rgb="FFFFFF00"/>
      <name val="Calibri"/>
      <family val="2"/>
      <charset val="238"/>
      <scheme val="minor"/>
    </font>
    <font>
      <sz val="11"/>
      <color rgb="FFFFFF00"/>
      <name val="Calibri"/>
      <family val="2"/>
      <scheme val="minor"/>
    </font>
    <font>
      <b/>
      <sz val="8"/>
      <name val="Calibri"/>
      <family val="2"/>
      <scheme val="minor"/>
    </font>
    <font>
      <sz val="8"/>
      <name val="Arial"/>
      <family val="2"/>
    </font>
    <font>
      <sz val="10"/>
      <color rgb="FFFFFF00"/>
      <name val="Arial"/>
      <family val="2"/>
    </font>
    <font>
      <b/>
      <sz val="8"/>
      <color rgb="FFFF0000"/>
      <name val="Arial"/>
      <family val="2"/>
    </font>
    <font>
      <sz val="10"/>
      <color theme="0" tint="-0.249977111117893"/>
      <name val="Calibri"/>
      <family val="2"/>
      <scheme val="minor"/>
    </font>
    <font>
      <b/>
      <sz val="9"/>
      <color theme="0"/>
      <name val="Calibri"/>
      <family val="2"/>
      <scheme val="minor"/>
    </font>
    <font>
      <sz val="9"/>
      <color theme="0"/>
      <name val="Calibri"/>
      <family val="2"/>
      <scheme val="minor"/>
    </font>
    <font>
      <sz val="8"/>
      <color rgb="FFFFC000"/>
      <name val="Calibri"/>
      <family val="2"/>
      <scheme val="minor"/>
    </font>
    <font>
      <b/>
      <sz val="8"/>
      <color rgb="FFFFC000"/>
      <name val="Calibri"/>
      <family val="2"/>
      <scheme val="minor"/>
    </font>
    <font>
      <sz val="7.5"/>
      <name val="Calibri"/>
      <family val="2"/>
      <scheme val="minor"/>
    </font>
    <font>
      <sz val="12"/>
      <name val="Calibri"/>
      <family val="2"/>
      <scheme val="minor"/>
    </font>
    <font>
      <b/>
      <sz val="10"/>
      <color rgb="FFFFC000"/>
      <name val="Calibri"/>
      <family val="2"/>
      <scheme val="minor"/>
    </font>
    <font>
      <b/>
      <sz val="10"/>
      <color theme="0" tint="-0.499984740745262"/>
      <name val="Calibri"/>
      <family val="2"/>
      <scheme val="minor"/>
    </font>
    <font>
      <b/>
      <sz val="9"/>
      <color theme="0" tint="-0.499984740745262"/>
      <name val="Calibri"/>
      <family val="2"/>
      <scheme val="minor"/>
    </font>
    <font>
      <sz val="10"/>
      <color theme="0" tint="-0.34998626667073579"/>
      <name val="Calibri"/>
      <family val="2"/>
      <scheme val="minor"/>
    </font>
    <font>
      <vertAlign val="subscript"/>
      <sz val="8"/>
      <name val="Calibri"/>
      <family val="2"/>
      <scheme val="minor"/>
    </font>
    <font>
      <vertAlign val="subscript"/>
      <sz val="10"/>
      <name val="Calibri"/>
      <family val="2"/>
      <scheme val="minor"/>
    </font>
    <font>
      <b/>
      <vertAlign val="subscript"/>
      <sz val="10"/>
      <name val="Calibri"/>
      <family val="2"/>
      <scheme val="minor"/>
    </font>
    <font>
      <b/>
      <vertAlign val="subscript"/>
      <sz val="9"/>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499984740745262"/>
        <bgColor indexed="64"/>
      </patternFill>
    </fill>
    <fill>
      <patternFill patternType="solid">
        <fgColor theme="4" tint="0.79998168889431442"/>
        <bgColor theme="4" tint="0.79998168889431442"/>
      </patternFill>
    </fill>
    <fill>
      <patternFill patternType="solid">
        <fgColor rgb="FF00AFEC"/>
        <bgColor indexed="64"/>
      </patternFill>
    </fill>
    <fill>
      <patternFill patternType="solid">
        <fgColor theme="4"/>
        <bgColor theme="4"/>
      </patternFill>
    </fill>
    <fill>
      <patternFill patternType="solid">
        <fgColor theme="5" tint="0.59999389629810485"/>
        <bgColor indexed="64"/>
      </patternFill>
    </fill>
    <fill>
      <patternFill patternType="solid">
        <fgColor rgb="FFFF0000"/>
        <bgColor theme="4"/>
      </patternFill>
    </fill>
    <fill>
      <patternFill patternType="solid">
        <fgColor theme="9" tint="0.79998168889431442"/>
        <bgColor indexed="64"/>
      </patternFill>
    </fill>
    <fill>
      <patternFill patternType="solid">
        <fgColor rgb="FFFF3399"/>
        <bgColor indexed="64"/>
      </patternFill>
    </fill>
    <fill>
      <patternFill patternType="solid">
        <fgColor theme="0" tint="-0.14999847407452621"/>
        <bgColor indexed="64"/>
      </patternFill>
    </fill>
    <fill>
      <patternFill patternType="solid">
        <fgColor theme="0" tint="-0.34998626667073579"/>
        <bgColor indexed="64"/>
      </patternFill>
    </fill>
  </fills>
  <borders count="99">
    <border>
      <left/>
      <right/>
      <top/>
      <bottom/>
      <diagonal/>
    </border>
    <border>
      <left/>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double">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style="medium">
        <color indexed="64"/>
      </left>
      <right style="medium">
        <color indexed="64"/>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style="medium">
        <color indexed="64"/>
      </left>
      <right style="medium">
        <color indexed="64"/>
      </right>
      <top/>
      <bottom style="mediumDashed">
        <color indexed="64"/>
      </bottom>
      <diagonal/>
    </border>
    <border>
      <left/>
      <right style="mediumDashed">
        <color indexed="64"/>
      </right>
      <top/>
      <bottom style="mediumDashed">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theme="4" tint="0.39997558519241921"/>
      </top>
      <bottom/>
      <diagonal/>
    </border>
    <border>
      <left/>
      <right/>
      <top style="thin">
        <color theme="4" tint="0.39997558519241921"/>
      </top>
      <bottom style="thin">
        <color theme="4" tint="0.39997558519241921"/>
      </bottom>
      <diagonal/>
    </border>
    <border>
      <left style="mediumDashed">
        <color indexed="64"/>
      </left>
      <right/>
      <top/>
      <bottom/>
      <diagonal/>
    </border>
    <border>
      <left/>
      <right style="mediumDashed">
        <color indexed="64"/>
      </right>
      <top/>
      <bottom/>
      <diagonal/>
    </border>
    <border>
      <left style="medium">
        <color indexed="64"/>
      </left>
      <right style="mediumDashed">
        <color indexed="64"/>
      </right>
      <top style="mediumDashed">
        <color indexed="64"/>
      </top>
      <bottom/>
      <diagonal/>
    </border>
    <border>
      <left style="medium">
        <color indexed="64"/>
      </left>
      <right style="mediumDashed">
        <color indexed="64"/>
      </right>
      <top/>
      <bottom/>
      <diagonal/>
    </border>
    <border>
      <left style="medium">
        <color indexed="64"/>
      </left>
      <right style="mediumDashed">
        <color indexed="64"/>
      </right>
      <top/>
      <bottom style="mediumDashed">
        <color indexed="64"/>
      </bottom>
      <diagonal/>
    </border>
    <border>
      <left/>
      <right style="medium">
        <color indexed="64"/>
      </right>
      <top/>
      <bottom style="mediumDashed">
        <color indexed="64"/>
      </bottom>
      <diagonal/>
    </border>
    <border>
      <left style="thin">
        <color indexed="64"/>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style="medium">
        <color indexed="64"/>
      </right>
      <top style="mediumDashed">
        <color indexed="64"/>
      </top>
      <bottom/>
      <diagonal/>
    </border>
    <border>
      <left/>
      <right/>
      <top style="medium">
        <color indexed="64"/>
      </top>
      <bottom style="mediumDashed">
        <color indexed="64"/>
      </bottom>
      <diagonal/>
    </border>
    <border>
      <left/>
      <right style="thin">
        <color indexed="64"/>
      </right>
      <top/>
      <bottom style="mediumDashed">
        <color indexed="64"/>
      </bottom>
      <diagonal/>
    </border>
    <border>
      <left/>
      <right/>
      <top style="thin">
        <color indexed="64"/>
      </top>
      <bottom style="mediumDashed">
        <color indexed="64"/>
      </bottom>
      <diagonal/>
    </border>
    <border>
      <left style="thin">
        <color indexed="64"/>
      </left>
      <right/>
      <top style="mediumDashed">
        <color indexed="64"/>
      </top>
      <bottom/>
      <diagonal/>
    </border>
    <border>
      <left/>
      <right style="thin">
        <color indexed="64"/>
      </right>
      <top style="mediumDashed">
        <color indexed="64"/>
      </top>
      <bottom/>
      <diagonal/>
    </border>
    <border>
      <left style="thin">
        <color indexed="64"/>
      </left>
      <right/>
      <top/>
      <bottom style="mediumDash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Dashed">
        <color indexed="64"/>
      </top>
      <bottom/>
      <diagonal/>
    </border>
    <border>
      <left style="thin">
        <color indexed="64"/>
      </left>
      <right style="thin">
        <color indexed="64"/>
      </right>
      <top/>
      <bottom style="mediumDashed">
        <color indexed="64"/>
      </bottom>
      <diagonal/>
    </border>
    <border>
      <left style="thin">
        <color indexed="64"/>
      </left>
      <right style="medium">
        <color indexed="64"/>
      </right>
      <top style="mediumDashed">
        <color indexed="64"/>
      </top>
      <bottom/>
      <diagonal/>
    </border>
    <border>
      <left style="thin">
        <color indexed="64"/>
      </left>
      <right style="medium">
        <color indexed="64"/>
      </right>
      <top/>
      <bottom style="mediumDashed">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s>
  <cellStyleXfs count="7">
    <xf numFmtId="0" fontId="0" fillId="0" borderId="0"/>
    <xf numFmtId="0" fontId="2" fillId="0" borderId="0"/>
    <xf numFmtId="43" fontId="9" fillId="0" borderId="0" applyFont="0" applyFill="0" applyBorder="0" applyAlignment="0" applyProtection="0"/>
    <xf numFmtId="43" fontId="2" fillId="0" borderId="0" applyFont="0" applyFill="0" applyBorder="0" applyAlignment="0" applyProtection="0"/>
    <xf numFmtId="0" fontId="20"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799">
    <xf numFmtId="0" fontId="0" fillId="0" borderId="0" xfId="0"/>
    <xf numFmtId="0" fontId="5" fillId="0" borderId="0" xfId="0" applyFont="1"/>
    <xf numFmtId="0" fontId="6" fillId="2" borderId="0" xfId="0" applyFont="1" applyFill="1" applyAlignment="1">
      <alignment horizontal="right" vertical="center"/>
    </xf>
    <xf numFmtId="0" fontId="6" fillId="0" borderId="0" xfId="0" applyFont="1" applyAlignment="1">
      <alignment horizontal="left" wrapText="1"/>
    </xf>
    <xf numFmtId="0" fontId="5" fillId="0" borderId="0" xfId="0" applyFont="1" applyAlignment="1">
      <alignment horizontal="left" wrapText="1"/>
    </xf>
    <xf numFmtId="1" fontId="7" fillId="0" borderId="0" xfId="0" applyNumberFormat="1" applyFont="1" applyAlignment="1">
      <alignment horizontal="right" vertical="center" wrapText="1"/>
    </xf>
    <xf numFmtId="1" fontId="6" fillId="0" borderId="0" xfId="0" applyNumberFormat="1" applyFont="1" applyAlignment="1">
      <alignment horizontal="right" vertical="center" wrapText="1"/>
    </xf>
    <xf numFmtId="4" fontId="5" fillId="0" borderId="0" xfId="0" applyNumberFormat="1" applyFont="1"/>
    <xf numFmtId="0" fontId="5" fillId="0" borderId="17" xfId="0" applyFont="1" applyBorder="1"/>
    <xf numFmtId="0" fontId="5" fillId="0" borderId="3" xfId="0" applyFont="1" applyBorder="1"/>
    <xf numFmtId="0" fontId="5" fillId="0" borderId="18" xfId="0" applyFont="1" applyBorder="1"/>
    <xf numFmtId="0" fontId="5" fillId="0" borderId="20" xfId="0" applyFont="1" applyBorder="1"/>
    <xf numFmtId="0" fontId="5" fillId="0" borderId="4" xfId="0" applyFont="1" applyBorder="1"/>
    <xf numFmtId="0" fontId="6" fillId="0" borderId="0" xfId="0" applyFont="1" applyAlignment="1">
      <alignment horizontal="left" vertical="center"/>
    </xf>
    <xf numFmtId="0" fontId="8" fillId="0" borderId="0" xfId="0" applyFont="1" applyAlignment="1">
      <alignment horizontal="right" vertical="center" wrapText="1"/>
    </xf>
    <xf numFmtId="4" fontId="6" fillId="0" borderId="0" xfId="0" applyNumberFormat="1" applyFont="1" applyAlignment="1">
      <alignment vertical="center"/>
    </xf>
    <xf numFmtId="0" fontId="5" fillId="0" borderId="14" xfId="0" applyFont="1" applyBorder="1" applyAlignment="1">
      <alignment horizontal="center"/>
    </xf>
    <xf numFmtId="0" fontId="2" fillId="0" borderId="0" xfId="1"/>
    <xf numFmtId="0" fontId="10" fillId="0" borderId="0" xfId="1" applyFont="1"/>
    <xf numFmtId="0" fontId="7" fillId="0" borderId="0" xfId="0" applyFont="1" applyAlignment="1">
      <alignment vertical="top"/>
    </xf>
    <xf numFmtId="0" fontId="6" fillId="0" borderId="0" xfId="0" applyFont="1" applyAlignment="1">
      <alignment horizontal="center" vertical="center"/>
    </xf>
    <xf numFmtId="0" fontId="3" fillId="0" borderId="0" xfId="0" applyFont="1"/>
    <xf numFmtId="0" fontId="5" fillId="0" borderId="0" xfId="0" applyFont="1" applyAlignment="1">
      <alignment wrapText="1"/>
    </xf>
    <xf numFmtId="0" fontId="4" fillId="0" borderId="0" xfId="0" applyFont="1"/>
    <xf numFmtId="43" fontId="0" fillId="0" borderId="0" xfId="2" applyFont="1"/>
    <xf numFmtId="4" fontId="0" fillId="0" borderId="0" xfId="0" applyNumberFormat="1"/>
    <xf numFmtId="2" fontId="4" fillId="0" borderId="0" xfId="0" applyNumberFormat="1" applyFont="1"/>
    <xf numFmtId="0" fontId="2" fillId="0" borderId="0" xfId="0" applyFont="1"/>
    <xf numFmtId="0" fontId="5" fillId="3" borderId="0" xfId="0" applyFont="1" applyFill="1"/>
    <xf numFmtId="0" fontId="5" fillId="0" borderId="0" xfId="0" applyFont="1" applyAlignment="1">
      <alignment horizontal="right"/>
    </xf>
    <xf numFmtId="0" fontId="5" fillId="5" borderId="0" xfId="0" applyFont="1" applyFill="1"/>
    <xf numFmtId="0" fontId="5" fillId="0" borderId="11" xfId="0" applyFont="1" applyBorder="1"/>
    <xf numFmtId="0" fontId="5" fillId="3" borderId="11" xfId="0" applyFont="1" applyFill="1" applyBorder="1"/>
    <xf numFmtId="0" fontId="5" fillId="0" borderId="11" xfId="0" applyFont="1" applyBorder="1" applyAlignment="1">
      <alignment horizontal="right"/>
    </xf>
    <xf numFmtId="0" fontId="5" fillId="0" borderId="22" xfId="0" applyFont="1" applyBorder="1"/>
    <xf numFmtId="4" fontId="5" fillId="3" borderId="22" xfId="0" applyNumberFormat="1" applyFont="1" applyFill="1" applyBorder="1"/>
    <xf numFmtId="0" fontId="5" fillId="0" borderId="22" xfId="0" applyFont="1" applyBorder="1" applyAlignment="1">
      <alignment horizontal="right"/>
    </xf>
    <xf numFmtId="0" fontId="6" fillId="0" borderId="0" xfId="0" applyFont="1" applyAlignment="1">
      <alignment horizontal="center" vertical="center" wrapText="1"/>
    </xf>
    <xf numFmtId="0" fontId="5" fillId="0" borderId="0" xfId="0" applyFont="1" applyAlignment="1">
      <alignment vertical="center"/>
    </xf>
    <xf numFmtId="0" fontId="5" fillId="0" borderId="0" xfId="0" quotePrefix="1" applyFont="1" applyAlignment="1">
      <alignment vertical="center"/>
    </xf>
    <xf numFmtId="4" fontId="6" fillId="0" borderId="0" xfId="0" applyNumberFormat="1" applyFont="1" applyAlignment="1" applyProtection="1">
      <alignment horizontal="right" vertical="center" wrapText="1"/>
      <protection locked="0"/>
    </xf>
    <xf numFmtId="4" fontId="5" fillId="0" borderId="0" xfId="0" applyNumberFormat="1" applyFont="1" applyAlignment="1">
      <alignment vertical="center"/>
    </xf>
    <xf numFmtId="0" fontId="7" fillId="0" borderId="0" xfId="0" applyFont="1" applyAlignment="1">
      <alignment vertical="center" wrapText="1"/>
    </xf>
    <xf numFmtId="0" fontId="5" fillId="0" borderId="12" xfId="0" applyFont="1" applyBorder="1"/>
    <xf numFmtId="0" fontId="5" fillId="0" borderId="11" xfId="0" applyFont="1" applyBorder="1" applyAlignment="1">
      <alignment wrapText="1"/>
    </xf>
    <xf numFmtId="0" fontId="5" fillId="5" borderId="4" xfId="0" applyFont="1" applyFill="1" applyBorder="1"/>
    <xf numFmtId="0" fontId="5" fillId="0" borderId="28" xfId="0" applyFont="1" applyBorder="1" applyAlignment="1">
      <alignment wrapText="1"/>
    </xf>
    <xf numFmtId="0" fontId="5" fillId="0" borderId="30" xfId="0" applyFont="1" applyBorder="1" applyAlignment="1">
      <alignment wrapText="1"/>
    </xf>
    <xf numFmtId="0" fontId="5" fillId="0" borderId="31" xfId="0" applyFont="1" applyBorder="1"/>
    <xf numFmtId="0" fontId="5" fillId="0" borderId="32" xfId="0" applyFont="1" applyBorder="1"/>
    <xf numFmtId="4" fontId="5" fillId="0" borderId="32" xfId="0" applyNumberFormat="1" applyFont="1" applyBorder="1"/>
    <xf numFmtId="0" fontId="5" fillId="0" borderId="33" xfId="0" applyFont="1" applyBorder="1"/>
    <xf numFmtId="0" fontId="5" fillId="0" borderId="34" xfId="0" applyFont="1" applyBorder="1"/>
    <xf numFmtId="0" fontId="5" fillId="0" borderId="34" xfId="0" applyFont="1" applyBorder="1" applyAlignment="1">
      <alignment horizontal="right"/>
    </xf>
    <xf numFmtId="4" fontId="5" fillId="0" borderId="34" xfId="0" applyNumberFormat="1" applyFont="1" applyBorder="1"/>
    <xf numFmtId="0" fontId="5" fillId="0" borderId="35" xfId="0" applyFont="1" applyBorder="1"/>
    <xf numFmtId="0" fontId="5" fillId="0" borderId="28" xfId="0" applyFont="1" applyBorder="1"/>
    <xf numFmtId="0" fontId="5" fillId="0" borderId="29" xfId="0" applyFont="1" applyBorder="1"/>
    <xf numFmtId="0" fontId="5" fillId="0" borderId="29" xfId="0" applyFont="1" applyBorder="1" applyAlignment="1">
      <alignment horizontal="right"/>
    </xf>
    <xf numFmtId="0" fontId="5" fillId="0" borderId="30" xfId="0" applyFont="1" applyBorder="1"/>
    <xf numFmtId="0" fontId="16" fillId="0" borderId="11" xfId="0" applyFont="1" applyBorder="1" applyAlignment="1">
      <alignment horizontal="right"/>
    </xf>
    <xf numFmtId="4" fontId="5" fillId="0" borderId="29" xfId="0" applyNumberFormat="1" applyFont="1" applyBorder="1"/>
    <xf numFmtId="0" fontId="12" fillId="0" borderId="0" xfId="0" applyFont="1" applyAlignment="1">
      <alignment horizontal="right"/>
    </xf>
    <xf numFmtId="0" fontId="12" fillId="0" borderId="11" xfId="0" applyFont="1" applyBorder="1" applyAlignment="1">
      <alignment horizontal="right"/>
    </xf>
    <xf numFmtId="4" fontId="8" fillId="0" borderId="0" xfId="0" applyNumberFormat="1" applyFont="1" applyAlignment="1">
      <alignment vertical="center" wrapText="1"/>
    </xf>
    <xf numFmtId="4" fontId="6" fillId="0" borderId="0" xfId="0" applyNumberFormat="1" applyFont="1" applyAlignment="1">
      <alignment horizontal="right" vertical="center"/>
    </xf>
    <xf numFmtId="0" fontId="5" fillId="0" borderId="0" xfId="0" applyFont="1" applyAlignment="1">
      <alignment horizontal="left"/>
    </xf>
    <xf numFmtId="0" fontId="5" fillId="0" borderId="42" xfId="0" applyFont="1" applyBorder="1"/>
    <xf numFmtId="0" fontId="5" fillId="0" borderId="1" xfId="0" applyFont="1" applyBorder="1"/>
    <xf numFmtId="0" fontId="6" fillId="0" borderId="0" xfId="0" applyFont="1" applyAlignment="1">
      <alignment horizontal="right" vertical="center"/>
    </xf>
    <xf numFmtId="0" fontId="6" fillId="0" borderId="0" xfId="0" applyFont="1" applyAlignment="1">
      <alignment horizontal="center"/>
    </xf>
    <xf numFmtId="0" fontId="7" fillId="0" borderId="0" xfId="0" applyFont="1" applyAlignment="1">
      <alignment vertical="center"/>
    </xf>
    <xf numFmtId="0" fontId="18" fillId="0" borderId="0" xfId="0" applyFont="1"/>
    <xf numFmtId="0" fontId="5" fillId="0" borderId="0" xfId="0" applyFont="1" applyAlignment="1" applyProtection="1">
      <alignment horizontal="center" vertical="center"/>
      <protection locked="0"/>
    </xf>
    <xf numFmtId="0" fontId="5" fillId="0" borderId="0" xfId="0" applyFont="1" applyAlignment="1">
      <alignment horizontal="center" vertical="center" wrapText="1"/>
    </xf>
    <xf numFmtId="43" fontId="5" fillId="0" borderId="0" xfId="0" applyNumberFormat="1" applyFont="1"/>
    <xf numFmtId="0" fontId="23" fillId="0" borderId="0" xfId="4" quotePrefix="1" applyFont="1" applyFill="1" applyBorder="1" applyAlignment="1" applyProtection="1">
      <alignment vertical="center" wrapText="1"/>
    </xf>
    <xf numFmtId="0" fontId="5" fillId="4" borderId="15" xfId="0" applyFont="1" applyFill="1" applyBorder="1" applyProtection="1">
      <protection locked="0"/>
    </xf>
    <xf numFmtId="0" fontId="5" fillId="4" borderId="5" xfId="0" applyFont="1" applyFill="1" applyBorder="1" applyProtection="1">
      <protection locked="0"/>
    </xf>
    <xf numFmtId="4" fontId="5" fillId="4" borderId="16" xfId="0" applyNumberFormat="1" applyFont="1" applyFill="1" applyBorder="1" applyProtection="1">
      <protection locked="0"/>
    </xf>
    <xf numFmtId="0" fontId="22" fillId="0" borderId="36" xfId="0" applyFont="1" applyBorder="1" applyProtection="1">
      <protection locked="0"/>
    </xf>
    <xf numFmtId="4" fontId="22" fillId="0" borderId="37" xfId="0" applyNumberFormat="1" applyFont="1" applyBorder="1" applyProtection="1">
      <protection locked="0"/>
    </xf>
    <xf numFmtId="0" fontId="5" fillId="0" borderId="15" xfId="0" applyFont="1" applyBorder="1"/>
    <xf numFmtId="4" fontId="5" fillId="0" borderId="5" xfId="0" applyNumberFormat="1" applyFont="1" applyBorder="1"/>
    <xf numFmtId="4" fontId="24" fillId="0" borderId="0" xfId="0" applyNumberFormat="1" applyFont="1"/>
    <xf numFmtId="4" fontId="12" fillId="0" borderId="22" xfId="0" applyNumberFormat="1" applyFont="1" applyBorder="1"/>
    <xf numFmtId="4" fontId="12" fillId="0" borderId="22" xfId="0" applyNumberFormat="1" applyFont="1" applyBorder="1" applyAlignment="1">
      <alignment horizontal="right"/>
    </xf>
    <xf numFmtId="4" fontId="12" fillId="3" borderId="0" xfId="0" applyNumberFormat="1" applyFont="1" applyFill="1" applyAlignment="1">
      <alignment horizontal="right"/>
    </xf>
    <xf numFmtId="0" fontId="6" fillId="0" borderId="0" xfId="0" applyFont="1" applyAlignment="1">
      <alignment vertical="center" wrapText="1"/>
    </xf>
    <xf numFmtId="4" fontId="6" fillId="3" borderId="22" xfId="0" applyNumberFormat="1" applyFont="1" applyFill="1" applyBorder="1"/>
    <xf numFmtId="4" fontId="6" fillId="3" borderId="25" xfId="0" applyNumberFormat="1" applyFont="1" applyFill="1" applyBorder="1"/>
    <xf numFmtId="0" fontId="5" fillId="0" borderId="48" xfId="0" applyFont="1" applyBorder="1" applyAlignment="1">
      <alignment horizontal="center" vertical="center" wrapText="1"/>
    </xf>
    <xf numFmtId="0" fontId="5" fillId="0" borderId="46" xfId="0" applyFont="1" applyBorder="1" applyAlignment="1">
      <alignment wrapText="1"/>
    </xf>
    <xf numFmtId="0" fontId="5" fillId="0" borderId="47" xfId="0" applyFont="1" applyBorder="1" applyAlignment="1">
      <alignment wrapText="1"/>
    </xf>
    <xf numFmtId="0" fontId="5" fillId="0" borderId="47" xfId="0" applyFont="1" applyBorder="1" applyAlignment="1">
      <alignment horizontal="right" wrapText="1"/>
    </xf>
    <xf numFmtId="0" fontId="5" fillId="0" borderId="47" xfId="0" applyFont="1" applyBorder="1" applyAlignment="1">
      <alignment vertical="center" wrapText="1"/>
    </xf>
    <xf numFmtId="0" fontId="5" fillId="0" borderId="47" xfId="0" applyFont="1" applyBorder="1" applyAlignment="1">
      <alignment horizontal="center" vertical="center" wrapText="1"/>
    </xf>
    <xf numFmtId="0" fontId="5" fillId="0" borderId="0" xfId="0" applyFont="1" applyAlignment="1">
      <alignment horizontal="center" vertical="center"/>
    </xf>
    <xf numFmtId="4" fontId="22" fillId="0" borderId="0" xfId="0" applyNumberFormat="1" applyFont="1" applyAlignment="1">
      <alignment vertical="center"/>
    </xf>
    <xf numFmtId="4" fontId="5" fillId="0" borderId="22" xfId="0" applyNumberFormat="1" applyFont="1" applyBorder="1"/>
    <xf numFmtId="0" fontId="5" fillId="0" borderId="5" xfId="0" applyFont="1" applyBorder="1"/>
    <xf numFmtId="4" fontId="5" fillId="0" borderId="16" xfId="0" applyNumberFormat="1" applyFont="1" applyBorder="1"/>
    <xf numFmtId="4" fontId="6" fillId="0" borderId="22" xfId="0" applyNumberFormat="1" applyFont="1" applyBorder="1"/>
    <xf numFmtId="0" fontId="27" fillId="0" borderId="0" xfId="4" quotePrefix="1" applyFont="1" applyFill="1" applyBorder="1" applyAlignment="1" applyProtection="1">
      <alignment horizontal="center" vertical="center" wrapText="1"/>
    </xf>
    <xf numFmtId="0" fontId="27" fillId="0" borderId="0" xfId="4" quotePrefix="1" applyFont="1" applyFill="1" applyBorder="1" applyAlignment="1" applyProtection="1">
      <alignment vertical="center" wrapText="1"/>
    </xf>
    <xf numFmtId="43" fontId="5" fillId="5" borderId="4" xfId="0" applyNumberFormat="1" applyFont="1" applyFill="1" applyBorder="1"/>
    <xf numFmtId="4" fontId="12" fillId="0" borderId="0" xfId="0" applyNumberFormat="1" applyFont="1" applyAlignment="1">
      <alignment horizontal="right"/>
    </xf>
    <xf numFmtId="4" fontId="6" fillId="0" borderId="25" xfId="0" applyNumberFormat="1" applyFont="1" applyBorder="1"/>
    <xf numFmtId="3" fontId="5" fillId="0" borderId="11" xfId="0" applyNumberFormat="1" applyFont="1" applyBorder="1"/>
    <xf numFmtId="0" fontId="5" fillId="0" borderId="51" xfId="0" applyFont="1" applyBorder="1"/>
    <xf numFmtId="0" fontId="5" fillId="0" borderId="51" xfId="0" applyFont="1" applyBorder="1" applyAlignment="1">
      <alignment horizontal="right"/>
    </xf>
    <xf numFmtId="0" fontId="12" fillId="0" borderId="51" xfId="0" applyFont="1" applyBorder="1" applyAlignment="1">
      <alignment horizontal="right"/>
    </xf>
    <xf numFmtId="3" fontId="5" fillId="0" borderId="51" xfId="0" applyNumberFormat="1" applyFont="1" applyBorder="1"/>
    <xf numFmtId="0" fontId="5" fillId="0" borderId="55" xfId="0" applyFont="1" applyBorder="1"/>
    <xf numFmtId="0" fontId="5" fillId="0" borderId="55" xfId="0" applyFont="1" applyBorder="1" applyAlignment="1">
      <alignment horizontal="right"/>
    </xf>
    <xf numFmtId="4" fontId="5" fillId="0" borderId="55" xfId="0" applyNumberFormat="1" applyFont="1" applyBorder="1"/>
    <xf numFmtId="0" fontId="28" fillId="0" borderId="55" xfId="0" applyFont="1" applyBorder="1" applyAlignment="1">
      <alignment horizontal="right"/>
    </xf>
    <xf numFmtId="0" fontId="25" fillId="0" borderId="51" xfId="0" applyFont="1" applyBorder="1"/>
    <xf numFmtId="0" fontId="25" fillId="0" borderId="51" xfId="0" applyFont="1" applyBorder="1" applyAlignment="1">
      <alignment horizontal="right"/>
    </xf>
    <xf numFmtId="0" fontId="25" fillId="3" borderId="51" xfId="0" applyFont="1" applyFill="1" applyBorder="1"/>
    <xf numFmtId="0" fontId="26" fillId="0" borderId="51" xfId="0" applyFont="1" applyBorder="1" applyAlignment="1">
      <alignment horizontal="right"/>
    </xf>
    <xf numFmtId="0" fontId="25" fillId="0" borderId="55" xfId="0" applyFont="1" applyBorder="1"/>
    <xf numFmtId="0" fontId="25" fillId="0" borderId="55" xfId="0" applyFont="1" applyBorder="1" applyAlignment="1">
      <alignment horizontal="right"/>
    </xf>
    <xf numFmtId="4" fontId="25" fillId="3" borderId="55" xfId="0" applyNumberFormat="1" applyFont="1" applyFill="1" applyBorder="1"/>
    <xf numFmtId="0" fontId="5" fillId="0" borderId="2" xfId="0" applyFont="1" applyBorder="1" applyAlignment="1">
      <alignment horizontal="center" vertical="center" wrapText="1"/>
    </xf>
    <xf numFmtId="4" fontId="6" fillId="0" borderId="0" xfId="0" applyNumberFormat="1" applyFont="1"/>
    <xf numFmtId="4" fontId="5" fillId="0" borderId="4" xfId="0" applyNumberFormat="1" applyFont="1" applyBorder="1"/>
    <xf numFmtId="0" fontId="12" fillId="0" borderId="0" xfId="0" applyFont="1" applyAlignment="1">
      <alignment horizontal="center" vertical="center" wrapText="1"/>
    </xf>
    <xf numFmtId="0" fontId="12" fillId="0" borderId="0" xfId="0" applyFont="1" applyAlignment="1">
      <alignment horizontal="center" vertical="center"/>
    </xf>
    <xf numFmtId="4" fontId="21" fillId="5" borderId="0" xfId="0" applyNumberFormat="1" applyFont="1" applyFill="1"/>
    <xf numFmtId="0" fontId="29" fillId="0" borderId="0" xfId="4" quotePrefix="1" applyFont="1" applyFill="1" applyBorder="1" applyAlignment="1" applyProtection="1">
      <alignment vertical="center" wrapText="1"/>
    </xf>
    <xf numFmtId="0" fontId="29" fillId="0" borderId="0" xfId="4" quotePrefix="1" applyFont="1" applyFill="1" applyBorder="1" applyAlignment="1" applyProtection="1">
      <alignment horizontal="center" vertical="center" wrapText="1"/>
    </xf>
    <xf numFmtId="0" fontId="5" fillId="0" borderId="0" xfId="0" applyFont="1" applyAlignment="1">
      <alignment vertical="top"/>
    </xf>
    <xf numFmtId="0" fontId="12" fillId="0" borderId="0" xfId="0" applyFont="1" applyAlignment="1">
      <alignment horizontal="right" vertical="top"/>
    </xf>
    <xf numFmtId="0" fontId="17" fillId="7" borderId="42" xfId="0" applyFont="1" applyFill="1" applyBorder="1" applyAlignment="1">
      <alignment horizontal="center" vertical="center" wrapText="1"/>
    </xf>
    <xf numFmtId="0" fontId="17" fillId="7" borderId="1" xfId="0" applyFont="1" applyFill="1" applyBorder="1" applyAlignment="1">
      <alignment horizontal="center" vertical="center"/>
    </xf>
    <xf numFmtId="43" fontId="0" fillId="0" borderId="0" xfId="0" applyNumberFormat="1"/>
    <xf numFmtId="43" fontId="5" fillId="0" borderId="0" xfId="2" applyFont="1"/>
    <xf numFmtId="0" fontId="5" fillId="4" borderId="5" xfId="0" applyFont="1" applyFill="1" applyBorder="1" applyAlignment="1" applyProtection="1">
      <alignment vertical="center"/>
      <protection locked="0"/>
    </xf>
    <xf numFmtId="43" fontId="5" fillId="0" borderId="5" xfId="2" applyFont="1" applyBorder="1" applyAlignment="1">
      <alignment vertical="center"/>
    </xf>
    <xf numFmtId="0" fontId="6" fillId="0" borderId="8" xfId="0" applyFont="1" applyBorder="1" applyAlignment="1">
      <alignment vertical="center"/>
    </xf>
    <xf numFmtId="4" fontId="6" fillId="0" borderId="8" xfId="0" applyNumberFormat="1" applyFont="1" applyBorder="1" applyAlignment="1">
      <alignment vertical="center"/>
    </xf>
    <xf numFmtId="0" fontId="18" fillId="0" borderId="0" xfId="0" applyFont="1" applyAlignment="1">
      <alignment horizontal="left" wrapText="1"/>
    </xf>
    <xf numFmtId="0" fontId="33" fillId="8" borderId="0" xfId="1" applyFont="1" applyFill="1"/>
    <xf numFmtId="0" fontId="34" fillId="8" borderId="0" xfId="1" applyFont="1" applyFill="1"/>
    <xf numFmtId="43" fontId="35" fillId="8" borderId="0" xfId="2" applyFont="1" applyFill="1" applyBorder="1"/>
    <xf numFmtId="9" fontId="34" fillId="8" borderId="0" xfId="1" applyNumberFormat="1" applyFont="1" applyFill="1"/>
    <xf numFmtId="43" fontId="35" fillId="8" borderId="0" xfId="2" applyFont="1" applyFill="1"/>
    <xf numFmtId="43" fontId="36" fillId="9" borderId="64" xfId="2" applyFont="1" applyFill="1" applyBorder="1"/>
    <xf numFmtId="0" fontId="5" fillId="2" borderId="0" xfId="0" applyFont="1" applyFill="1"/>
    <xf numFmtId="0" fontId="24" fillId="0" borderId="0" xfId="0" applyFont="1"/>
    <xf numFmtId="164" fontId="28" fillId="0" borderId="0" xfId="5" applyNumberFormat="1" applyFont="1" applyFill="1" applyBorder="1" applyAlignment="1" applyProtection="1"/>
    <xf numFmtId="4" fontId="28" fillId="4" borderId="26" xfId="5" applyNumberFormat="1" applyFont="1" applyFill="1" applyBorder="1" applyAlignment="1" applyProtection="1">
      <protection locked="0"/>
    </xf>
    <xf numFmtId="10" fontId="28" fillId="0" borderId="0" xfId="6" applyNumberFormat="1" applyFont="1" applyFill="1" applyBorder="1" applyAlignment="1" applyProtection="1">
      <alignment horizontal="right" vertical="center"/>
    </xf>
    <xf numFmtId="9" fontId="28" fillId="0" borderId="0" xfId="6" applyFont="1" applyFill="1" applyBorder="1" applyAlignment="1" applyProtection="1">
      <alignment horizontal="right" vertical="center"/>
    </xf>
    <xf numFmtId="0" fontId="5" fillId="0" borderId="0" xfId="0" applyFont="1" applyAlignment="1">
      <alignment vertical="center" wrapText="1"/>
    </xf>
    <xf numFmtId="0" fontId="6" fillId="0" borderId="3" xfId="0" applyFont="1" applyBorder="1" applyAlignment="1">
      <alignment vertical="center"/>
    </xf>
    <xf numFmtId="0" fontId="7" fillId="0" borderId="3" xfId="0" applyFont="1" applyBorder="1" applyAlignment="1">
      <alignment horizontal="center" vertical="top"/>
    </xf>
    <xf numFmtId="0" fontId="7" fillId="0" borderId="0" xfId="0" applyFont="1" applyAlignment="1">
      <alignment horizontal="center" vertical="top"/>
    </xf>
    <xf numFmtId="0" fontId="5" fillId="4" borderId="41" xfId="0" applyFont="1" applyFill="1" applyBorder="1" applyProtection="1">
      <protection locked="0"/>
    </xf>
    <xf numFmtId="0" fontId="5" fillId="0" borderId="43" xfId="0" applyFont="1" applyBorder="1"/>
    <xf numFmtId="0" fontId="5" fillId="0" borderId="6" xfId="0" applyFont="1" applyBorder="1"/>
    <xf numFmtId="0" fontId="5" fillId="0" borderId="6" xfId="0" applyFont="1" applyBorder="1" applyAlignment="1">
      <alignment horizontal="center"/>
    </xf>
    <xf numFmtId="0" fontId="7" fillId="2" borderId="0" xfId="0" applyFont="1" applyFill="1" applyAlignment="1">
      <alignment vertical="top"/>
    </xf>
    <xf numFmtId="0" fontId="5" fillId="0" borderId="21" xfId="0" applyFont="1" applyBorder="1" applyAlignment="1">
      <alignment horizontal="right" vertical="center" wrapText="1"/>
    </xf>
    <xf numFmtId="0" fontId="5" fillId="0" borderId="0" xfId="0" applyFont="1" applyAlignment="1">
      <alignment horizontal="right" vertical="center"/>
    </xf>
    <xf numFmtId="0" fontId="5" fillId="0" borderId="5" xfId="0" applyFont="1" applyBorder="1" applyAlignment="1" applyProtection="1">
      <alignment vertical="center"/>
      <protection locked="0"/>
    </xf>
    <xf numFmtId="4" fontId="6" fillId="0" borderId="0" xfId="0" applyNumberFormat="1" applyFont="1" applyAlignment="1">
      <alignment horizontal="right" vertical="center" wrapText="1"/>
    </xf>
    <xf numFmtId="0" fontId="18" fillId="0" borderId="0" xfId="0" applyFont="1" applyAlignment="1">
      <alignment horizontal="center" wrapText="1"/>
    </xf>
    <xf numFmtId="49" fontId="12" fillId="0" borderId="0" xfId="0" applyNumberFormat="1" applyFont="1" applyAlignment="1">
      <alignment horizontal="right"/>
    </xf>
    <xf numFmtId="0" fontId="2" fillId="0" borderId="64" xfId="1" applyBorder="1"/>
    <xf numFmtId="43" fontId="2" fillId="0" borderId="64" xfId="2" applyFont="1" applyFill="1" applyBorder="1"/>
    <xf numFmtId="43" fontId="37" fillId="0" borderId="64" xfId="2" applyFont="1" applyFill="1" applyBorder="1" applyAlignment="1">
      <alignment horizontal="center"/>
    </xf>
    <xf numFmtId="43" fontId="36" fillId="0" borderId="64" xfId="2" applyFont="1" applyFill="1" applyBorder="1"/>
    <xf numFmtId="0" fontId="28" fillId="4" borderId="0" xfId="0" quotePrefix="1" applyFont="1" applyFill="1" applyAlignment="1" applyProtection="1">
      <alignment horizontal="center"/>
      <protection locked="0"/>
    </xf>
    <xf numFmtId="0" fontId="5" fillId="4" borderId="41" xfId="0" applyFont="1" applyFill="1" applyBorder="1" applyAlignment="1" applyProtection="1">
      <alignment horizontal="center"/>
      <protection locked="0"/>
    </xf>
    <xf numFmtId="4" fontId="6" fillId="3" borderId="0" xfId="0" applyNumberFormat="1" applyFont="1" applyFill="1"/>
    <xf numFmtId="0" fontId="7" fillId="0" borderId="4" xfId="0" applyFont="1" applyBorder="1" applyAlignment="1">
      <alignment horizontal="center" vertical="top"/>
    </xf>
    <xf numFmtId="0" fontId="5" fillId="0" borderId="0" xfId="0" applyFont="1" applyAlignment="1">
      <alignment horizontal="center"/>
    </xf>
    <xf numFmtId="0" fontId="17" fillId="0" borderId="0" xfId="0" applyFont="1" applyAlignment="1">
      <alignment horizontal="center" vertical="center"/>
    </xf>
    <xf numFmtId="0" fontId="6" fillId="0" borderId="0" xfId="0" applyFont="1" applyAlignment="1">
      <alignment horizontal="right"/>
    </xf>
    <xf numFmtId="0" fontId="5" fillId="0" borderId="0" xfId="0" applyFont="1" applyAlignment="1">
      <alignment horizontal="center" vertical="center" wrapText="1" shrinkToFit="1"/>
    </xf>
    <xf numFmtId="0" fontId="7" fillId="0" borderId="1" xfId="0" applyFont="1" applyBorder="1"/>
    <xf numFmtId="0" fontId="6" fillId="0" borderId="1" xfId="0" applyFont="1" applyBorder="1"/>
    <xf numFmtId="0" fontId="7" fillId="0" borderId="1" xfId="0" applyFont="1" applyBorder="1" applyAlignment="1">
      <alignment horizontal="right"/>
    </xf>
    <xf numFmtId="0" fontId="7" fillId="0" borderId="0" xfId="0" applyFont="1"/>
    <xf numFmtId="0" fontId="6" fillId="0" borderId="0" xfId="0" applyFont="1"/>
    <xf numFmtId="0" fontId="7" fillId="0" borderId="0" xfId="0" applyFont="1" applyAlignment="1">
      <alignment horizontal="right"/>
    </xf>
    <xf numFmtId="0" fontId="6" fillId="0" borderId="3" xfId="0" applyFont="1" applyBorder="1" applyAlignment="1">
      <alignment horizontal="left" vertical="center"/>
    </xf>
    <xf numFmtId="0" fontId="6" fillId="0" borderId="13" xfId="0" applyFont="1" applyBorder="1" applyAlignment="1">
      <alignment horizontal="left" vertical="center"/>
    </xf>
    <xf numFmtId="0" fontId="6" fillId="0" borderId="63" xfId="0" applyFont="1" applyBorder="1" applyAlignment="1">
      <alignment horizontal="left" vertical="center"/>
    </xf>
    <xf numFmtId="0" fontId="6" fillId="0" borderId="5" xfId="0" applyFont="1" applyBorder="1" applyAlignment="1">
      <alignment horizontal="left" vertical="center"/>
    </xf>
    <xf numFmtId="0" fontId="0" fillId="0" borderId="0" xfId="0" applyAlignment="1">
      <alignment wrapText="1"/>
    </xf>
    <xf numFmtId="14" fontId="5" fillId="0" borderId="27" xfId="0" applyNumberFormat="1" applyFont="1" applyBorder="1" applyAlignment="1" applyProtection="1">
      <alignment horizontal="center"/>
      <protection locked="0"/>
    </xf>
    <xf numFmtId="0" fontId="7" fillId="0" borderId="4" xfId="0" applyFont="1" applyBorder="1" applyAlignment="1">
      <alignment vertical="top"/>
    </xf>
    <xf numFmtId="14" fontId="0" fillId="0" borderId="0" xfId="0" applyNumberFormat="1"/>
    <xf numFmtId="0" fontId="22" fillId="0" borderId="22" xfId="0" applyFont="1" applyBorder="1" applyProtection="1">
      <protection locked="0"/>
    </xf>
    <xf numFmtId="0" fontId="16" fillId="0" borderId="51" xfId="0" applyFont="1" applyBorder="1" applyAlignment="1">
      <alignment horizontal="right"/>
    </xf>
    <xf numFmtId="0" fontId="5" fillId="0" borderId="53" xfId="0" applyFont="1" applyBorder="1"/>
    <xf numFmtId="0" fontId="5" fillId="5" borderId="67" xfId="0" applyFont="1" applyFill="1" applyBorder="1"/>
    <xf numFmtId="0" fontId="22" fillId="0" borderId="55" xfId="0" applyFont="1" applyBorder="1" applyProtection="1">
      <protection locked="0"/>
    </xf>
    <xf numFmtId="4" fontId="5" fillId="3" borderId="55" xfId="0" applyNumberFormat="1" applyFont="1" applyFill="1" applyBorder="1"/>
    <xf numFmtId="4" fontId="6" fillId="3" borderId="55" xfId="0" applyNumberFormat="1" applyFont="1" applyFill="1" applyBorder="1"/>
    <xf numFmtId="4" fontId="12" fillId="0" borderId="55" xfId="0" applyNumberFormat="1" applyFont="1" applyBorder="1" applyAlignment="1">
      <alignment horizontal="right"/>
    </xf>
    <xf numFmtId="4" fontId="5" fillId="5" borderId="55" xfId="0" applyNumberFormat="1" applyFont="1" applyFill="1" applyBorder="1"/>
    <xf numFmtId="4" fontId="6" fillId="3" borderId="57" xfId="0" applyNumberFormat="1" applyFont="1" applyFill="1" applyBorder="1"/>
    <xf numFmtId="0" fontId="5" fillId="0" borderId="50" xfId="0" applyFont="1" applyBorder="1"/>
    <xf numFmtId="0" fontId="5" fillId="0" borderId="66" xfId="0" applyFont="1" applyBorder="1"/>
    <xf numFmtId="0" fontId="5" fillId="0" borderId="54" xfId="0" applyFont="1" applyBorder="1"/>
    <xf numFmtId="0" fontId="34" fillId="10" borderId="0" xfId="1" applyFont="1" applyFill="1"/>
    <xf numFmtId="43" fontId="2" fillId="0" borderId="0" xfId="2" applyFont="1"/>
    <xf numFmtId="0" fontId="11" fillId="0" borderId="64" xfId="1" applyFont="1" applyBorder="1"/>
    <xf numFmtId="0" fontId="32" fillId="0" borderId="64" xfId="0" applyFont="1" applyBorder="1"/>
    <xf numFmtId="43" fontId="36" fillId="0" borderId="64" xfId="2" applyFont="1" applyFill="1" applyBorder="1" applyAlignment="1">
      <alignment horizontal="center"/>
    </xf>
    <xf numFmtId="0" fontId="2" fillId="0" borderId="64" xfId="2" applyNumberFormat="1" applyFont="1" applyFill="1" applyBorder="1"/>
    <xf numFmtId="43" fontId="2" fillId="0" borderId="0" xfId="1" applyNumberFormat="1"/>
    <xf numFmtId="43" fontId="36" fillId="9" borderId="64" xfId="2" applyFont="1" applyFill="1" applyBorder="1" applyAlignment="1">
      <alignment horizontal="center"/>
    </xf>
    <xf numFmtId="43" fontId="37" fillId="9" borderId="64" xfId="2" applyFont="1" applyFill="1" applyBorder="1" applyAlignment="1">
      <alignment horizontal="center"/>
    </xf>
    <xf numFmtId="43" fontId="37" fillId="0" borderId="64" xfId="2" applyFont="1" applyFill="1" applyBorder="1"/>
    <xf numFmtId="43" fontId="37" fillId="0" borderId="64" xfId="2" applyFont="1" applyFill="1" applyBorder="1" applyAlignment="1">
      <alignment horizontal="center" vertical="center"/>
    </xf>
    <xf numFmtId="43" fontId="2" fillId="0" borderId="0" xfId="2" applyFont="1" applyFill="1"/>
    <xf numFmtId="166" fontId="2" fillId="0" borderId="0" xfId="2" applyNumberFormat="1" applyFont="1" applyFill="1"/>
    <xf numFmtId="43" fontId="36" fillId="0" borderId="64" xfId="2" applyFont="1" applyFill="1" applyBorder="1" applyAlignment="1">
      <alignment horizontal="center" vertical="center"/>
    </xf>
    <xf numFmtId="43" fontId="37" fillId="0" borderId="0" xfId="2" applyFont="1" applyFill="1" applyBorder="1" applyAlignment="1">
      <alignment horizontal="center"/>
    </xf>
    <xf numFmtId="43" fontId="40" fillId="0" borderId="64" xfId="2" applyFont="1" applyFill="1" applyBorder="1"/>
    <xf numFmtId="43" fontId="40" fillId="0" borderId="64" xfId="2" applyFont="1" applyFill="1" applyBorder="1" applyAlignment="1">
      <alignment horizontal="center"/>
    </xf>
    <xf numFmtId="43" fontId="37" fillId="0" borderId="64" xfId="6" applyNumberFormat="1" applyFont="1" applyFill="1" applyBorder="1" applyAlignment="1"/>
    <xf numFmtId="0" fontId="2" fillId="6" borderId="65" xfId="1" applyFill="1" applyBorder="1"/>
    <xf numFmtId="43" fontId="2" fillId="6" borderId="64" xfId="1" applyNumberFormat="1" applyFill="1" applyBorder="1"/>
    <xf numFmtId="43" fontId="2" fillId="0" borderId="64" xfId="1" applyNumberFormat="1" applyBorder="1"/>
    <xf numFmtId="166" fontId="2" fillId="0" borderId="64" xfId="1" applyNumberFormat="1" applyBorder="1"/>
    <xf numFmtId="0" fontId="22" fillId="0" borderId="5" xfId="0" applyFont="1" applyBorder="1" applyProtection="1">
      <protection locked="0"/>
    </xf>
    <xf numFmtId="4" fontId="5" fillId="0" borderId="5" xfId="0" applyNumberFormat="1" applyFont="1" applyBorder="1" applyProtection="1">
      <protection locked="0"/>
    </xf>
    <xf numFmtId="4" fontId="6" fillId="0" borderId="6" xfId="0" applyNumberFormat="1" applyFont="1" applyBorder="1" applyAlignment="1">
      <alignment vertical="center"/>
    </xf>
    <xf numFmtId="4" fontId="6" fillId="0" borderId="0" xfId="0" applyNumberFormat="1" applyFont="1" applyAlignment="1">
      <alignment horizontal="center" vertical="center"/>
    </xf>
    <xf numFmtId="0" fontId="5" fillId="0" borderId="0" xfId="0" applyFont="1" applyAlignment="1">
      <alignment horizontal="left" vertical="center"/>
    </xf>
    <xf numFmtId="4" fontId="12" fillId="0" borderId="0" xfId="0" applyNumberFormat="1" applyFont="1"/>
    <xf numFmtId="4" fontId="5" fillId="0" borderId="0" xfId="0" applyNumberFormat="1" applyFont="1" applyAlignment="1">
      <alignment horizontal="center"/>
    </xf>
    <xf numFmtId="165" fontId="5" fillId="0" borderId="0" xfId="0" applyNumberFormat="1" applyFont="1" applyAlignment="1">
      <alignment vertical="center"/>
    </xf>
    <xf numFmtId="0" fontId="12" fillId="7" borderId="17" xfId="0" applyFont="1" applyFill="1" applyBorder="1" applyAlignment="1">
      <alignment horizontal="right" vertical="center"/>
    </xf>
    <xf numFmtId="0" fontId="16" fillId="0" borderId="1" xfId="0" applyFont="1" applyBorder="1" applyAlignment="1">
      <alignment horizontal="right"/>
    </xf>
    <xf numFmtId="0" fontId="16" fillId="0" borderId="0" xfId="0" applyFont="1" applyAlignment="1">
      <alignment horizontal="right"/>
    </xf>
    <xf numFmtId="0" fontId="28" fillId="0" borderId="0" xfId="0" applyFont="1" applyAlignment="1">
      <alignment horizontal="righ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wrapText="1" shrinkToFit="1"/>
    </xf>
    <xf numFmtId="0" fontId="28" fillId="0" borderId="0" xfId="0" applyFont="1" applyAlignment="1">
      <alignment horizontal="left" vertical="center"/>
    </xf>
    <xf numFmtId="0" fontId="24" fillId="0" borderId="0" xfId="0" applyFont="1" applyAlignment="1">
      <alignment horizontal="center" vertical="center"/>
    </xf>
    <xf numFmtId="0" fontId="19" fillId="0" borderId="0" xfId="0" applyFont="1" applyAlignment="1">
      <alignment horizontal="right"/>
    </xf>
    <xf numFmtId="0" fontId="19" fillId="0" borderId="1" xfId="0" applyFont="1" applyBorder="1"/>
    <xf numFmtId="0" fontId="18" fillId="0" borderId="1" xfId="0" applyFont="1" applyBorder="1"/>
    <xf numFmtId="0" fontId="19" fillId="0" borderId="1" xfId="0" applyFont="1" applyBorder="1" applyAlignment="1">
      <alignment horizontal="right"/>
    </xf>
    <xf numFmtId="0" fontId="19" fillId="0" borderId="1" xfId="0" applyFont="1" applyBorder="1" applyAlignment="1">
      <alignment horizontal="left"/>
    </xf>
    <xf numFmtId="0" fontId="16" fillId="0" borderId="1" xfId="0" applyFont="1" applyBorder="1" applyAlignment="1">
      <alignment horizontal="right" vertical="center"/>
    </xf>
    <xf numFmtId="0" fontId="28" fillId="0" borderId="0" xfId="0" applyFont="1" applyAlignment="1">
      <alignment horizontal="right"/>
    </xf>
    <xf numFmtId="0" fontId="28" fillId="0" borderId="10" xfId="0" applyFont="1" applyBorder="1"/>
    <xf numFmtId="0" fontId="28" fillId="0" borderId="11" xfId="0" applyFont="1" applyBorder="1"/>
    <xf numFmtId="0" fontId="28" fillId="0" borderId="11" xfId="0" applyFont="1" applyBorder="1" applyAlignment="1">
      <alignment horizontal="center"/>
    </xf>
    <xf numFmtId="0" fontId="24" fillId="0" borderId="11" xfId="0" applyFont="1" applyBorder="1"/>
    <xf numFmtId="0" fontId="28" fillId="0" borderId="0" xfId="0" applyFont="1" applyAlignment="1">
      <alignment horizontal="center"/>
    </xf>
    <xf numFmtId="0" fontId="28" fillId="0" borderId="3" xfId="0" applyFont="1" applyBorder="1" applyAlignment="1">
      <alignment horizontal="left" vertical="center"/>
    </xf>
    <xf numFmtId="0" fontId="28" fillId="0" borderId="0" xfId="0" applyFont="1" applyAlignment="1">
      <alignment horizontal="center" vertical="center"/>
    </xf>
    <xf numFmtId="0" fontId="28" fillId="0" borderId="1" xfId="0" applyFont="1" applyBorder="1" applyAlignment="1">
      <alignment horizontal="center" vertical="center"/>
    </xf>
    <xf numFmtId="0" fontId="38" fillId="0" borderId="1" xfId="0" applyFont="1" applyBorder="1" applyAlignment="1">
      <alignment horizontal="center" vertical="center"/>
    </xf>
    <xf numFmtId="0" fontId="28" fillId="0" borderId="4" xfId="0" applyFont="1" applyBorder="1" applyAlignment="1">
      <alignment horizontal="center" vertical="center"/>
    </xf>
    <xf numFmtId="0" fontId="24" fillId="0" borderId="0" xfId="0" applyFont="1" applyAlignment="1">
      <alignment vertical="center"/>
    </xf>
    <xf numFmtId="0" fontId="28" fillId="0" borderId="13" xfId="0" applyFont="1" applyBorder="1" applyAlignment="1">
      <alignment horizontal="left" vertical="center"/>
    </xf>
    <xf numFmtId="0" fontId="28" fillId="0" borderId="18" xfId="0" applyFont="1" applyBorder="1" applyAlignment="1">
      <alignment horizontal="left" vertical="center"/>
    </xf>
    <xf numFmtId="0" fontId="28" fillId="0" borderId="5" xfId="0" applyFont="1" applyBorder="1" applyAlignment="1">
      <alignment vertical="center"/>
    </xf>
    <xf numFmtId="4" fontId="28" fillId="0" borderId="5" xfId="0" applyNumberFormat="1" applyFont="1" applyBorder="1" applyAlignment="1">
      <alignment vertical="center"/>
    </xf>
    <xf numFmtId="4" fontId="28" fillId="0" borderId="20" xfId="0" applyNumberFormat="1" applyFont="1" applyBorder="1" applyAlignment="1">
      <alignment vertical="center"/>
    </xf>
    <xf numFmtId="0" fontId="24" fillId="0" borderId="18" xfId="0" applyFont="1" applyBorder="1" applyAlignment="1">
      <alignment vertical="center"/>
    </xf>
    <xf numFmtId="0" fontId="28" fillId="0" borderId="0" xfId="0" applyFont="1" applyAlignment="1">
      <alignment vertical="center"/>
    </xf>
    <xf numFmtId="0" fontId="28" fillId="0" borderId="0" xfId="0" applyFont="1" applyAlignment="1">
      <alignment horizontal="center" vertical="center" wrapText="1"/>
    </xf>
    <xf numFmtId="3" fontId="28" fillId="0" borderId="5" xfId="0" applyNumberFormat="1" applyFont="1" applyBorder="1" applyAlignment="1">
      <alignment vertical="center"/>
    </xf>
    <xf numFmtId="3" fontId="28" fillId="0" borderId="0" xfId="0" applyNumberFormat="1" applyFont="1" applyAlignment="1">
      <alignment vertical="center"/>
    </xf>
    <xf numFmtId="4" fontId="28" fillId="0" borderId="0" xfId="0" applyNumberFormat="1" applyFont="1" applyAlignment="1">
      <alignment vertical="center"/>
    </xf>
    <xf numFmtId="4" fontId="24" fillId="0" borderId="0" xfId="0" applyNumberFormat="1" applyFont="1" applyAlignment="1">
      <alignment vertical="center" wrapText="1"/>
    </xf>
    <xf numFmtId="0" fontId="28" fillId="0" borderId="26" xfId="0" applyFont="1" applyBorder="1" applyAlignment="1">
      <alignment horizontal="left" vertical="center"/>
    </xf>
    <xf numFmtId="0" fontId="28" fillId="0" borderId="22" xfId="0" applyFont="1" applyBorder="1" applyAlignment="1">
      <alignment horizontal="left" vertical="center"/>
    </xf>
    <xf numFmtId="0" fontId="28" fillId="0" borderId="25" xfId="0" applyFont="1" applyBorder="1" applyAlignment="1">
      <alignment horizontal="left" vertical="center"/>
    </xf>
    <xf numFmtId="4" fontId="28" fillId="0" borderId="26" xfId="0" applyNumberFormat="1" applyFont="1" applyBorder="1" applyAlignment="1">
      <alignment vertical="center"/>
    </xf>
    <xf numFmtId="4" fontId="28" fillId="0" borderId="21" xfId="0" applyNumberFormat="1" applyFont="1" applyBorder="1" applyAlignment="1">
      <alignment vertical="center"/>
    </xf>
    <xf numFmtId="4" fontId="28" fillId="0" borderId="22" xfId="0" applyNumberFormat="1" applyFont="1" applyBorder="1" applyAlignment="1">
      <alignment vertical="center"/>
    </xf>
    <xf numFmtId="0" fontId="24" fillId="0" borderId="22" xfId="0" applyFont="1" applyBorder="1" applyAlignment="1">
      <alignment vertical="center"/>
    </xf>
    <xf numFmtId="0" fontId="24" fillId="0" borderId="22" xfId="0" applyFont="1" applyBorder="1" applyAlignment="1">
      <alignment vertical="center" wrapText="1"/>
    </xf>
    <xf numFmtId="0" fontId="24" fillId="0" borderId="25" xfId="0" applyFont="1" applyBorder="1" applyAlignment="1">
      <alignment vertical="center" wrapText="1"/>
    </xf>
    <xf numFmtId="0" fontId="24" fillId="0" borderId="0" xfId="0" applyFont="1" applyAlignment="1">
      <alignment vertical="center" wrapText="1"/>
    </xf>
    <xf numFmtId="0" fontId="24" fillId="0" borderId="0" xfId="0" applyFont="1" applyAlignment="1">
      <alignment horizontal="right" vertical="center" wrapText="1"/>
    </xf>
    <xf numFmtId="4" fontId="28" fillId="0" borderId="0" xfId="0" applyNumberFormat="1" applyFont="1" applyAlignment="1" applyProtection="1">
      <alignment horizontal="right" vertical="center" wrapText="1"/>
      <protection locked="0"/>
    </xf>
    <xf numFmtId="0" fontId="24" fillId="0" borderId="1" xfId="0" applyFont="1" applyBorder="1" applyAlignment="1">
      <alignment horizontal="right"/>
    </xf>
    <xf numFmtId="0" fontId="28" fillId="0" borderId="0" xfId="0" applyFont="1"/>
    <xf numFmtId="43" fontId="24" fillId="0" borderId="0" xfId="2" applyFont="1" applyFill="1" applyAlignment="1">
      <alignment vertical="center"/>
    </xf>
    <xf numFmtId="164" fontId="28" fillId="0" borderId="0" xfId="0" applyNumberFormat="1" applyFont="1" applyAlignment="1">
      <alignment vertical="center"/>
    </xf>
    <xf numFmtId="0" fontId="24" fillId="0" borderId="0" xfId="0" applyFont="1" applyAlignment="1">
      <alignment horizontal="right" vertical="center"/>
    </xf>
    <xf numFmtId="0" fontId="5" fillId="0" borderId="6" xfId="0" applyFont="1" applyBorder="1" applyAlignment="1">
      <alignment vertical="center" wrapText="1"/>
    </xf>
    <xf numFmtId="0" fontId="5" fillId="0" borderId="22" xfId="0" applyFont="1" applyBorder="1" applyAlignment="1">
      <alignment vertical="center" wrapText="1"/>
    </xf>
    <xf numFmtId="9" fontId="24" fillId="0" borderId="0" xfId="0" applyNumberFormat="1" applyFont="1" applyAlignment="1">
      <alignment vertical="center"/>
    </xf>
    <xf numFmtId="0" fontId="43" fillId="0" borderId="0" xfId="0" applyFont="1" applyAlignment="1">
      <alignment horizontal="center" vertical="center"/>
    </xf>
    <xf numFmtId="0" fontId="28" fillId="0" borderId="61" xfId="0" applyFont="1" applyBorder="1" applyAlignment="1">
      <alignment vertical="center"/>
    </xf>
    <xf numFmtId="0" fontId="28" fillId="0" borderId="60" xfId="0" applyFont="1" applyBorder="1" applyAlignment="1">
      <alignment vertical="center"/>
    </xf>
    <xf numFmtId="0" fontId="24" fillId="0" borderId="60" xfId="0" applyFont="1" applyBorder="1" applyAlignment="1">
      <alignment vertical="center"/>
    </xf>
    <xf numFmtId="0" fontId="28" fillId="0" borderId="60" xfId="0" applyFont="1" applyBorder="1" applyAlignment="1">
      <alignment horizontal="right" vertical="center"/>
    </xf>
    <xf numFmtId="4" fontId="28" fillId="0" borderId="49" xfId="0" applyNumberFormat="1" applyFont="1" applyBorder="1" applyAlignment="1">
      <alignment horizontal="right" vertical="center"/>
    </xf>
    <xf numFmtId="0" fontId="12" fillId="0" borderId="0" xfId="0" applyFont="1"/>
    <xf numFmtId="0" fontId="12" fillId="0" borderId="0" xfId="0" applyFont="1" applyAlignment="1">
      <alignment vertical="center"/>
    </xf>
    <xf numFmtId="4" fontId="18" fillId="0" borderId="0" xfId="0" applyNumberFormat="1" applyFont="1"/>
    <xf numFmtId="4" fontId="18" fillId="4" borderId="0" xfId="0" applyNumberFormat="1" applyFont="1" applyFill="1"/>
    <xf numFmtId="43" fontId="18" fillId="0" borderId="0" xfId="0" applyNumberFormat="1" applyFont="1"/>
    <xf numFmtId="9" fontId="18" fillId="0" borderId="0" xfId="0" applyNumberFormat="1" applyFont="1"/>
    <xf numFmtId="14" fontId="18" fillId="0" borderId="0" xfId="0" applyNumberFormat="1" applyFont="1"/>
    <xf numFmtId="0" fontId="18" fillId="0" borderId="0" xfId="0" applyFont="1" applyAlignment="1">
      <alignment horizontal="right"/>
    </xf>
    <xf numFmtId="0" fontId="18" fillId="11" borderId="0" xfId="0" applyFont="1" applyFill="1"/>
    <xf numFmtId="0" fontId="22" fillId="0" borderId="0" xfId="0" applyFont="1"/>
    <xf numFmtId="43" fontId="18" fillId="0" borderId="0" xfId="2" applyFont="1"/>
    <xf numFmtId="4" fontId="5" fillId="0" borderId="25" xfId="0" applyNumberFormat="1" applyFont="1" applyBorder="1"/>
    <xf numFmtId="0" fontId="3" fillId="0" borderId="0" xfId="0" applyFont="1" applyAlignment="1">
      <alignment horizontal="right"/>
    </xf>
    <xf numFmtId="43" fontId="2" fillId="0" borderId="0" xfId="0" applyNumberFormat="1" applyFont="1"/>
    <xf numFmtId="49" fontId="3" fillId="0" borderId="0" xfId="0" applyNumberFormat="1" applyFont="1"/>
    <xf numFmtId="0" fontId="20" fillId="0" borderId="0" xfId="4" quotePrefix="1"/>
    <xf numFmtId="0" fontId="20" fillId="0" borderId="0" xfId="4" quotePrefix="1" applyFill="1" applyBorder="1" applyAlignment="1" applyProtection="1">
      <alignment vertical="center" wrapText="1"/>
    </xf>
    <xf numFmtId="4" fontId="6" fillId="0" borderId="0" xfId="0" applyNumberFormat="1" applyFont="1" applyProtection="1">
      <protection locked="0"/>
    </xf>
    <xf numFmtId="0" fontId="5" fillId="0" borderId="6" xfId="0" applyFont="1" applyBorder="1" applyAlignment="1">
      <alignment horizontal="center" vertical="center" wrapText="1"/>
    </xf>
    <xf numFmtId="0" fontId="2" fillId="0" borderId="0" xfId="2" applyNumberFormat="1" applyFont="1"/>
    <xf numFmtId="167" fontId="2" fillId="0" borderId="64" xfId="1" applyNumberFormat="1" applyBorder="1"/>
    <xf numFmtId="0" fontId="5" fillId="0" borderId="34" xfId="0" applyFont="1" applyBorder="1" applyAlignment="1">
      <alignment wrapText="1"/>
    </xf>
    <xf numFmtId="0" fontId="5" fillId="0" borderId="29" xfId="0" applyFont="1" applyBorder="1" applyAlignment="1">
      <alignment wrapText="1"/>
    </xf>
    <xf numFmtId="43" fontId="4" fillId="0" borderId="0" xfId="2" applyFont="1"/>
    <xf numFmtId="4" fontId="25" fillId="0" borderId="55" xfId="0" applyNumberFormat="1" applyFont="1" applyBorder="1"/>
    <xf numFmtId="4" fontId="42" fillId="0" borderId="22" xfId="0" applyNumberFormat="1" applyFont="1" applyBorder="1"/>
    <xf numFmtId="0" fontId="45" fillId="0" borderId="0" xfId="0" applyFont="1" applyAlignment="1">
      <alignment wrapText="1"/>
    </xf>
    <xf numFmtId="0" fontId="45" fillId="0" borderId="47" xfId="0" applyFont="1" applyBorder="1" applyAlignment="1">
      <alignment wrapText="1"/>
    </xf>
    <xf numFmtId="0" fontId="46" fillId="0" borderId="11" xfId="0" applyFont="1" applyBorder="1"/>
    <xf numFmtId="0" fontId="45" fillId="0" borderId="0" xfId="0" applyFont="1"/>
    <xf numFmtId="4" fontId="45" fillId="0" borderId="22" xfId="0" applyNumberFormat="1" applyFont="1" applyBorder="1"/>
    <xf numFmtId="0" fontId="45" fillId="0" borderId="51" xfId="0" applyFont="1" applyBorder="1"/>
    <xf numFmtId="0" fontId="45" fillId="0" borderId="55" xfId="0" applyFont="1" applyBorder="1"/>
    <xf numFmtId="0" fontId="45" fillId="0" borderId="34" xfId="0" applyFont="1" applyBorder="1"/>
    <xf numFmtId="0" fontId="45" fillId="0" borderId="29" xfId="0" applyFont="1" applyBorder="1"/>
    <xf numFmtId="43" fontId="46" fillId="0" borderId="0" xfId="2" applyFont="1" applyBorder="1"/>
    <xf numFmtId="0" fontId="45" fillId="0" borderId="22" xfId="0" applyFont="1" applyBorder="1"/>
    <xf numFmtId="0" fontId="45" fillId="0" borderId="11" xfId="0" applyFont="1" applyBorder="1"/>
    <xf numFmtId="4" fontId="45" fillId="0" borderId="0" xfId="0" applyNumberFormat="1" applyFont="1"/>
    <xf numFmtId="4" fontId="45" fillId="0" borderId="55" xfId="0" applyNumberFormat="1" applyFont="1" applyBorder="1"/>
    <xf numFmtId="0" fontId="5" fillId="0" borderId="36" xfId="0" applyFont="1" applyBorder="1" applyProtection="1">
      <protection locked="0"/>
    </xf>
    <xf numFmtId="0" fontId="5" fillId="0" borderId="0" xfId="0" applyFont="1" applyAlignment="1">
      <alignment horizontal="left" vertical="center" wrapText="1"/>
    </xf>
    <xf numFmtId="0" fontId="22" fillId="0" borderId="0" xfId="0" applyFont="1" applyProtection="1">
      <protection locked="0"/>
    </xf>
    <xf numFmtId="4" fontId="5" fillId="0" borderId="0" xfId="0" applyNumberFormat="1" applyFont="1" applyAlignment="1">
      <alignment horizontal="center" vertical="center"/>
    </xf>
    <xf numFmtId="0" fontId="25" fillId="0" borderId="0" xfId="0" applyFont="1"/>
    <xf numFmtId="4" fontId="5" fillId="0" borderId="6" xfId="0" applyNumberFormat="1" applyFont="1" applyBorder="1"/>
    <xf numFmtId="0" fontId="6" fillId="0" borderId="9" xfId="0" applyFont="1" applyBorder="1" applyAlignment="1">
      <alignment horizontal="center" vertical="center"/>
    </xf>
    <xf numFmtId="4" fontId="6" fillId="0" borderId="4" xfId="0" applyNumberFormat="1" applyFont="1" applyBorder="1" applyAlignment="1">
      <alignment horizontal="center" vertical="center"/>
    </xf>
    <xf numFmtId="0" fontId="12" fillId="0" borderId="18" xfId="0" applyFont="1" applyBorder="1" applyAlignment="1">
      <alignment horizontal="right"/>
    </xf>
    <xf numFmtId="4" fontId="5" fillId="0" borderId="0" xfId="2" applyNumberFormat="1" applyFont="1" applyBorder="1" applyAlignment="1">
      <alignment horizontal="center" vertical="center"/>
    </xf>
    <xf numFmtId="3" fontId="5" fillId="3" borderId="51" xfId="0" applyNumberFormat="1" applyFont="1" applyFill="1" applyBorder="1"/>
    <xf numFmtId="4" fontId="6" fillId="0" borderId="51" xfId="0" applyNumberFormat="1" applyFont="1" applyBorder="1"/>
    <xf numFmtId="4" fontId="5" fillId="0" borderId="0" xfId="0" applyNumberFormat="1" applyFont="1" applyProtection="1">
      <protection locked="0"/>
    </xf>
    <xf numFmtId="4" fontId="21" fillId="0" borderId="0" xfId="0" applyNumberFormat="1" applyFont="1"/>
    <xf numFmtId="0" fontId="21" fillId="0" borderId="0" xfId="0" applyFont="1"/>
    <xf numFmtId="0" fontId="5" fillId="0" borderId="55" xfId="0" applyFont="1" applyBorder="1" applyAlignment="1">
      <alignment vertical="center" wrapText="1"/>
    </xf>
    <xf numFmtId="4" fontId="6" fillId="0" borderId="77" xfId="0" applyNumberFormat="1" applyFont="1" applyBorder="1"/>
    <xf numFmtId="3" fontId="6" fillId="3" borderId="51" xfId="0" applyNumberFormat="1" applyFont="1" applyFill="1" applyBorder="1"/>
    <xf numFmtId="4" fontId="22" fillId="0" borderId="0" xfId="0" applyNumberFormat="1" applyFont="1" applyProtection="1">
      <protection locked="0"/>
    </xf>
    <xf numFmtId="0" fontId="5" fillId="0" borderId="4" xfId="0" applyFont="1" applyBorder="1" applyAlignment="1">
      <alignment horizontal="right"/>
    </xf>
    <xf numFmtId="4" fontId="12" fillId="0" borderId="25" xfId="0" applyNumberFormat="1" applyFont="1" applyBorder="1" applyAlignment="1">
      <alignment horizontal="right"/>
    </xf>
    <xf numFmtId="0" fontId="5" fillId="0" borderId="60" xfId="0" applyFont="1" applyBorder="1"/>
    <xf numFmtId="0" fontId="48" fillId="0" borderId="0" xfId="0" applyFont="1"/>
    <xf numFmtId="0" fontId="5" fillId="3" borderId="73" xfId="0" applyFont="1" applyFill="1" applyBorder="1"/>
    <xf numFmtId="0" fontId="5" fillId="3" borderId="74" xfId="0" applyFont="1" applyFill="1" applyBorder="1"/>
    <xf numFmtId="0" fontId="5" fillId="3" borderId="18" xfId="0" applyFont="1" applyFill="1" applyBorder="1"/>
    <xf numFmtId="4" fontId="5" fillId="3" borderId="24" xfId="0" applyNumberFormat="1" applyFont="1" applyFill="1" applyBorder="1"/>
    <xf numFmtId="4" fontId="6" fillId="3" borderId="23" xfId="0" applyNumberFormat="1" applyFont="1" applyFill="1" applyBorder="1"/>
    <xf numFmtId="0" fontId="25" fillId="3" borderId="80" xfId="0" applyFont="1" applyFill="1" applyBorder="1"/>
    <xf numFmtId="0" fontId="25" fillId="3" borderId="81" xfId="0" applyFont="1" applyFill="1" applyBorder="1"/>
    <xf numFmtId="4" fontId="25" fillId="3" borderId="82" xfId="0" applyNumberFormat="1" applyFont="1" applyFill="1" applyBorder="1"/>
    <xf numFmtId="4" fontId="25" fillId="3" borderId="78" xfId="0" applyNumberFormat="1" applyFont="1" applyFill="1" applyBorder="1"/>
    <xf numFmtId="0" fontId="26" fillId="0" borderId="81" xfId="0" applyFont="1" applyBorder="1" applyAlignment="1">
      <alignment horizontal="right"/>
    </xf>
    <xf numFmtId="4" fontId="6" fillId="0" borderId="11" xfId="0" applyNumberFormat="1" applyFont="1" applyBorder="1"/>
    <xf numFmtId="4" fontId="5" fillId="0" borderId="4" xfId="0" applyNumberFormat="1" applyFont="1" applyBorder="1" applyAlignment="1">
      <alignment vertical="center"/>
    </xf>
    <xf numFmtId="4" fontId="21" fillId="0" borderId="60" xfId="0" applyNumberFormat="1" applyFont="1" applyBorder="1"/>
    <xf numFmtId="4" fontId="5" fillId="0" borderId="60" xfId="0" applyNumberFormat="1" applyFont="1" applyBorder="1"/>
    <xf numFmtId="4" fontId="6" fillId="0" borderId="60" xfId="0" applyNumberFormat="1" applyFont="1" applyBorder="1"/>
    <xf numFmtId="0" fontId="45" fillId="0" borderId="60" xfId="0" applyFont="1" applyBorder="1"/>
    <xf numFmtId="4" fontId="5" fillId="0" borderId="0" xfId="0" applyNumberFormat="1" applyFont="1" applyAlignment="1">
      <alignment horizontal="right"/>
    </xf>
    <xf numFmtId="43" fontId="46" fillId="0" borderId="22" xfId="2" applyFont="1" applyBorder="1"/>
    <xf numFmtId="4" fontId="6" fillId="4" borderId="0" xfId="0" applyNumberFormat="1" applyFont="1" applyFill="1" applyProtection="1">
      <protection locked="0"/>
    </xf>
    <xf numFmtId="0" fontId="6" fillId="0" borderId="1" xfId="0" applyFont="1" applyBorder="1" applyAlignment="1">
      <alignment vertical="center"/>
    </xf>
    <xf numFmtId="4" fontId="6" fillId="0" borderId="1" xfId="0" applyNumberFormat="1" applyFont="1" applyBorder="1" applyAlignment="1">
      <alignment vertical="center"/>
    </xf>
    <xf numFmtId="4" fontId="5" fillId="0" borderId="48" xfId="0" applyNumberFormat="1" applyFont="1" applyBorder="1" applyAlignment="1">
      <alignment vertical="center"/>
    </xf>
    <xf numFmtId="4" fontId="6" fillId="0" borderId="4" xfId="0" applyNumberFormat="1" applyFont="1" applyBorder="1" applyAlignment="1">
      <alignment vertical="center"/>
    </xf>
    <xf numFmtId="0" fontId="6" fillId="0" borderId="0" xfId="0" applyFont="1" applyAlignment="1">
      <alignment vertical="center"/>
    </xf>
    <xf numFmtId="4" fontId="5" fillId="0" borderId="0" xfId="2" applyNumberFormat="1" applyFont="1" applyBorder="1" applyAlignment="1">
      <alignment horizontal="right" vertical="center"/>
    </xf>
    <xf numFmtId="4" fontId="5" fillId="0" borderId="0" xfId="2" applyNumberFormat="1" applyFont="1" applyBorder="1" applyAlignment="1">
      <alignment vertical="center"/>
    </xf>
    <xf numFmtId="165" fontId="6" fillId="0" borderId="0" xfId="0" applyNumberFormat="1" applyFont="1" applyAlignment="1">
      <alignment horizontal="center" vertical="center"/>
    </xf>
    <xf numFmtId="0" fontId="5" fillId="0" borderId="4" xfId="0" applyFont="1" applyBorder="1" applyAlignment="1">
      <alignment vertical="center"/>
    </xf>
    <xf numFmtId="0" fontId="6" fillId="0" borderId="4" xfId="0" applyFont="1" applyBorder="1" applyAlignment="1">
      <alignment horizontal="center" vertical="center"/>
    </xf>
    <xf numFmtId="0" fontId="6" fillId="0" borderId="4" xfId="0" applyFont="1" applyBorder="1" applyAlignment="1">
      <alignment vertical="center"/>
    </xf>
    <xf numFmtId="0" fontId="6" fillId="0" borderId="4" xfId="0" applyFont="1" applyBorder="1" applyAlignment="1">
      <alignment horizontal="left" vertical="center"/>
    </xf>
    <xf numFmtId="0" fontId="6" fillId="0" borderId="6" xfId="0" applyFont="1" applyBorder="1" applyAlignment="1">
      <alignment vertical="center"/>
    </xf>
    <xf numFmtId="0" fontId="5" fillId="0" borderId="6" xfId="0" applyFont="1" applyBorder="1" applyAlignment="1">
      <alignment vertical="center"/>
    </xf>
    <xf numFmtId="4" fontId="5" fillId="0" borderId="6" xfId="2" applyNumberFormat="1" applyFont="1" applyBorder="1" applyAlignment="1">
      <alignment horizontal="right" vertical="center"/>
    </xf>
    <xf numFmtId="4" fontId="5" fillId="0" borderId="6" xfId="2" applyNumberFormat="1" applyFont="1" applyBorder="1" applyAlignment="1">
      <alignment vertical="center"/>
    </xf>
    <xf numFmtId="0" fontId="5" fillId="0" borderId="1" xfId="0" applyFont="1" applyBorder="1" applyAlignment="1">
      <alignment vertical="center"/>
    </xf>
    <xf numFmtId="4" fontId="5" fillId="0" borderId="1" xfId="2" applyNumberFormat="1" applyFont="1" applyBorder="1" applyAlignment="1">
      <alignment horizontal="right" vertical="center"/>
    </xf>
    <xf numFmtId="0" fontId="6" fillId="0" borderId="14" xfId="0" applyFont="1" applyBorder="1" applyAlignment="1">
      <alignment horizontal="left" vertical="center"/>
    </xf>
    <xf numFmtId="0" fontId="5" fillId="0" borderId="19" xfId="0" applyFont="1" applyBorder="1" applyAlignment="1">
      <alignment vertical="center"/>
    </xf>
    <xf numFmtId="0" fontId="6" fillId="0" borderId="90" xfId="0" applyFont="1" applyBorder="1" applyAlignment="1">
      <alignment horizontal="left" vertical="center"/>
    </xf>
    <xf numFmtId="0" fontId="5" fillId="0" borderId="43" xfId="0" applyFont="1" applyBorder="1" applyAlignment="1">
      <alignment vertical="center"/>
    </xf>
    <xf numFmtId="0" fontId="5" fillId="0" borderId="8" xfId="0" applyFont="1" applyBorder="1" applyAlignment="1">
      <alignment vertical="center"/>
    </xf>
    <xf numFmtId="3" fontId="6" fillId="0" borderId="8" xfId="0" applyNumberFormat="1" applyFont="1" applyBorder="1" applyAlignment="1">
      <alignment vertical="center"/>
    </xf>
    <xf numFmtId="4" fontId="5" fillId="0" borderId="8" xfId="2" applyNumberFormat="1" applyFont="1" applyBorder="1" applyAlignment="1">
      <alignment horizontal="right" vertical="center"/>
    </xf>
    <xf numFmtId="4" fontId="5" fillId="0" borderId="8" xfId="0" applyNumberFormat="1" applyFont="1" applyBorder="1" applyAlignment="1">
      <alignment vertical="center"/>
    </xf>
    <xf numFmtId="0" fontId="5" fillId="0" borderId="62" xfId="0" applyFont="1" applyBorder="1" applyAlignment="1">
      <alignment vertical="center"/>
    </xf>
    <xf numFmtId="4" fontId="6" fillId="0" borderId="8" xfId="2" applyNumberFormat="1" applyFont="1" applyBorder="1" applyAlignment="1">
      <alignment vertical="center"/>
    </xf>
    <xf numFmtId="0" fontId="5" fillId="0" borderId="3" xfId="0" applyFont="1" applyBorder="1" applyAlignment="1">
      <alignment vertical="center"/>
    </xf>
    <xf numFmtId="0" fontId="5" fillId="0" borderId="4" xfId="0" applyFont="1" applyBorder="1" applyAlignment="1">
      <alignment horizontal="center"/>
    </xf>
    <xf numFmtId="4" fontId="6" fillId="0" borderId="19" xfId="0" applyNumberFormat="1" applyFont="1" applyBorder="1" applyAlignment="1">
      <alignment vertical="center"/>
    </xf>
    <xf numFmtId="4" fontId="6" fillId="0" borderId="43" xfId="0" applyNumberFormat="1" applyFont="1" applyBorder="1" applyAlignment="1">
      <alignment vertical="center"/>
    </xf>
    <xf numFmtId="4" fontId="6" fillId="0" borderId="62" xfId="0" applyNumberFormat="1" applyFont="1" applyBorder="1" applyAlignment="1">
      <alignmen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4" fontId="6" fillId="0" borderId="93" xfId="0" applyNumberFormat="1" applyFont="1" applyBorder="1" applyAlignment="1">
      <alignment vertical="center"/>
    </xf>
    <xf numFmtId="0" fontId="5" fillId="0" borderId="92" xfId="0" applyFont="1" applyBorder="1" applyAlignment="1">
      <alignment vertical="center"/>
    </xf>
    <xf numFmtId="0" fontId="8" fillId="0" borderId="92" xfId="0" applyFont="1" applyBorder="1" applyAlignment="1">
      <alignment vertical="center" wrapText="1"/>
    </xf>
    <xf numFmtId="4" fontId="6" fillId="0" borderId="92" xfId="0" applyNumberFormat="1" applyFont="1" applyBorder="1" applyAlignment="1">
      <alignment vertical="center"/>
    </xf>
    <xf numFmtId="0" fontId="5" fillId="0" borderId="93" xfId="0" applyFont="1" applyBorder="1" applyAlignment="1">
      <alignment vertical="center"/>
    </xf>
    <xf numFmtId="4" fontId="5" fillId="0" borderId="75" xfId="0" applyNumberFormat="1" applyFont="1" applyBorder="1" applyAlignment="1">
      <alignment vertical="center"/>
    </xf>
    <xf numFmtId="4" fontId="5" fillId="0" borderId="27" xfId="0" applyNumberFormat="1" applyFont="1" applyBorder="1" applyAlignment="1">
      <alignment vertical="center"/>
    </xf>
    <xf numFmtId="4" fontId="5" fillId="0" borderId="5" xfId="0" applyNumberFormat="1" applyFont="1" applyBorder="1" applyAlignment="1">
      <alignment vertical="center"/>
    </xf>
    <xf numFmtId="4" fontId="5" fillId="0" borderId="8" xfId="2" applyNumberFormat="1" applyFont="1" applyBorder="1" applyAlignment="1">
      <alignment vertical="center"/>
    </xf>
    <xf numFmtId="4" fontId="6" fillId="0" borderId="1" xfId="0" applyNumberFormat="1" applyFont="1" applyBorder="1" applyAlignment="1">
      <alignment horizontal="center" vertical="center"/>
    </xf>
    <xf numFmtId="4" fontId="5" fillId="0" borderId="16" xfId="0" applyNumberFormat="1" applyFont="1" applyBorder="1" applyAlignment="1">
      <alignment vertical="center"/>
    </xf>
    <xf numFmtId="0" fontId="5" fillId="0" borderId="19" xfId="0" applyFont="1" applyBorder="1"/>
    <xf numFmtId="0" fontId="5" fillId="0" borderId="25" xfId="0" applyFont="1" applyBorder="1" applyAlignment="1">
      <alignment vertical="center" wrapText="1"/>
    </xf>
    <xf numFmtId="0" fontId="5" fillId="0" borderId="46" xfId="0" applyFont="1" applyBorder="1" applyAlignment="1">
      <alignment horizontal="center"/>
    </xf>
    <xf numFmtId="0" fontId="5" fillId="0" borderId="23" xfId="0" applyFont="1" applyBorder="1"/>
    <xf numFmtId="0" fontId="5" fillId="0" borderId="94" xfId="0" applyFont="1" applyBorder="1"/>
    <xf numFmtId="0" fontId="6" fillId="0" borderId="45" xfId="0" applyFont="1" applyBorder="1"/>
    <xf numFmtId="0" fontId="5" fillId="0" borderId="45" xfId="0" applyFont="1" applyBorder="1"/>
    <xf numFmtId="0" fontId="6" fillId="0" borderId="7" xfId="0" applyFont="1" applyBorder="1" applyAlignment="1">
      <alignment vertical="center"/>
    </xf>
    <xf numFmtId="0" fontId="6" fillId="0" borderId="9" xfId="0" applyFont="1" applyBorder="1" applyAlignment="1">
      <alignment vertical="center"/>
    </xf>
    <xf numFmtId="4" fontId="6" fillId="0" borderId="5" xfId="0" applyNumberFormat="1" applyFont="1" applyBorder="1" applyAlignment="1">
      <alignment horizontal="right" vertical="center"/>
    </xf>
    <xf numFmtId="0" fontId="5" fillId="0" borderId="18" xfId="0" applyFont="1" applyBorder="1" applyAlignment="1">
      <alignment vertical="center" wrapText="1"/>
    </xf>
    <xf numFmtId="0" fontId="6" fillId="0" borderId="9" xfId="0" applyFont="1" applyBorder="1" applyAlignment="1">
      <alignment horizontal="left" vertical="center"/>
    </xf>
    <xf numFmtId="0" fontId="6" fillId="0" borderId="2"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5" fillId="0" borderId="14" xfId="0" applyFont="1" applyBorder="1" applyAlignment="1">
      <alignment vertical="center"/>
    </xf>
    <xf numFmtId="0" fontId="5" fillId="0" borderId="90" xfId="0" applyFont="1" applyBorder="1" applyAlignment="1">
      <alignment vertical="center"/>
    </xf>
    <xf numFmtId="4" fontId="5" fillId="0" borderId="0" xfId="0" applyNumberFormat="1" applyFont="1" applyAlignment="1">
      <alignment horizontal="center" vertical="center" wrapText="1"/>
    </xf>
    <xf numFmtId="0" fontId="5" fillId="0" borderId="36" xfId="0" applyFont="1" applyBorder="1"/>
    <xf numFmtId="4" fontId="5" fillId="0" borderId="37" xfId="0" applyNumberFormat="1" applyFont="1" applyBorder="1"/>
    <xf numFmtId="0" fontId="5" fillId="0" borderId="10" xfId="0" applyFont="1" applyBorder="1" applyAlignment="1">
      <alignment vertical="center"/>
    </xf>
    <xf numFmtId="0" fontId="5" fillId="0" borderId="21" xfId="0" applyFont="1" applyBorder="1" applyAlignment="1">
      <alignment vertical="center"/>
    </xf>
    <xf numFmtId="3" fontId="5" fillId="0" borderId="15" xfId="0" applyNumberFormat="1" applyFont="1" applyBorder="1"/>
    <xf numFmtId="4" fontId="5" fillId="0" borderId="22" xfId="0" quotePrefix="1" applyNumberFormat="1" applyFont="1" applyBorder="1" applyAlignment="1">
      <alignment horizontal="center"/>
    </xf>
    <xf numFmtId="4" fontId="5" fillId="0" borderId="25" xfId="0" quotePrefix="1" applyNumberFormat="1" applyFont="1" applyBorder="1" applyAlignment="1">
      <alignment horizontal="center"/>
    </xf>
    <xf numFmtId="0" fontId="5" fillId="0" borderId="18" xfId="0" applyFont="1" applyBorder="1" applyAlignment="1">
      <alignment horizontal="right"/>
    </xf>
    <xf numFmtId="0" fontId="16" fillId="0" borderId="3" xfId="0" applyFont="1" applyBorder="1" applyAlignment="1">
      <alignment horizontal="right"/>
    </xf>
    <xf numFmtId="4" fontId="5" fillId="0" borderId="3" xfId="0" applyNumberFormat="1" applyFont="1" applyBorder="1"/>
    <xf numFmtId="0" fontId="44" fillId="0" borderId="0" xfId="0" applyFont="1" applyAlignment="1">
      <alignment vertical="center" wrapText="1"/>
    </xf>
    <xf numFmtId="43" fontId="24" fillId="0" borderId="0" xfId="2" applyFont="1" applyFill="1" applyAlignment="1">
      <alignment horizontal="right" vertical="center"/>
    </xf>
    <xf numFmtId="0" fontId="6" fillId="0" borderId="95" xfId="0" applyFont="1" applyBorder="1" applyAlignment="1">
      <alignment horizontal="left" vertical="center"/>
    </xf>
    <xf numFmtId="0" fontId="28" fillId="0" borderId="27" xfId="0" applyFont="1" applyBorder="1" applyAlignment="1">
      <alignment vertical="center"/>
    </xf>
    <xf numFmtId="4" fontId="6" fillId="0" borderId="27" xfId="0" applyNumberFormat="1" applyFont="1" applyBorder="1" applyAlignment="1">
      <alignment vertical="center"/>
    </xf>
    <xf numFmtId="0" fontId="28" fillId="0" borderId="96" xfId="0" applyFont="1" applyBorder="1" applyAlignment="1">
      <alignment vertical="center"/>
    </xf>
    <xf numFmtId="4" fontId="6" fillId="0" borderId="96" xfId="0" applyNumberFormat="1" applyFont="1" applyBorder="1" applyAlignment="1">
      <alignment vertical="center"/>
    </xf>
    <xf numFmtId="3" fontId="28" fillId="0" borderId="27" xfId="0" applyNumberFormat="1" applyFont="1" applyBorder="1" applyAlignment="1">
      <alignment vertical="center"/>
    </xf>
    <xf numFmtId="3" fontId="28" fillId="0" borderId="96" xfId="0" applyNumberFormat="1" applyFont="1" applyBorder="1" applyAlignment="1">
      <alignment vertical="center"/>
    </xf>
    <xf numFmtId="0" fontId="5" fillId="0" borderId="5" xfId="0" applyFont="1" applyBorder="1" applyAlignment="1">
      <alignment horizontal="center"/>
    </xf>
    <xf numFmtId="0" fontId="38" fillId="0" borderId="0" xfId="0" applyFont="1" applyAlignment="1">
      <alignment vertical="center" wrapText="1"/>
    </xf>
    <xf numFmtId="43" fontId="46" fillId="0" borderId="0" xfId="2" applyFont="1" applyFill="1" applyBorder="1"/>
    <xf numFmtId="4" fontId="5" fillId="0" borderId="7" xfId="2" applyNumberFormat="1" applyFont="1" applyFill="1" applyBorder="1"/>
    <xf numFmtId="0" fontId="5" fillId="0" borderId="0" xfId="0" applyFont="1" applyAlignment="1">
      <alignment horizontal="left" vertical="top"/>
    </xf>
    <xf numFmtId="9" fontId="37" fillId="0" borderId="64" xfId="6" applyFont="1" applyFill="1" applyBorder="1" applyAlignment="1"/>
    <xf numFmtId="0" fontId="51" fillId="0" borderId="0" xfId="0" applyFont="1" applyAlignment="1">
      <alignment horizontal="center" vertical="center"/>
    </xf>
    <xf numFmtId="0" fontId="18" fillId="12" borderId="0" xfId="0" applyFont="1" applyFill="1"/>
    <xf numFmtId="3" fontId="18" fillId="0" borderId="0" xfId="0" applyNumberFormat="1" applyFont="1"/>
    <xf numFmtId="0" fontId="6" fillId="0" borderId="8" xfId="0" applyFont="1" applyBorder="1" applyAlignment="1">
      <alignment horizontal="center" vertical="center"/>
    </xf>
    <xf numFmtId="0" fontId="5" fillId="0" borderId="0" xfId="0" applyFont="1" applyProtection="1">
      <protection locked="0"/>
    </xf>
    <xf numFmtId="0" fontId="5" fillId="13" borderId="73" xfId="0" applyFont="1" applyFill="1" applyBorder="1"/>
    <xf numFmtId="4" fontId="5" fillId="13" borderId="24" xfId="0" applyNumberFormat="1" applyFont="1" applyFill="1" applyBorder="1"/>
    <xf numFmtId="0" fontId="5" fillId="13" borderId="74" xfId="0" applyFont="1" applyFill="1" applyBorder="1"/>
    <xf numFmtId="4" fontId="6" fillId="13" borderId="23" xfId="0" applyNumberFormat="1" applyFont="1" applyFill="1" applyBorder="1"/>
    <xf numFmtId="0" fontId="25" fillId="13" borderId="80" xfId="0" applyFont="1" applyFill="1" applyBorder="1"/>
    <xf numFmtId="0" fontId="25" fillId="13" borderId="51" xfId="0" applyFont="1" applyFill="1" applyBorder="1"/>
    <xf numFmtId="0" fontId="25" fillId="13" borderId="81" xfId="0" applyFont="1" applyFill="1" applyBorder="1"/>
    <xf numFmtId="4" fontId="25" fillId="13" borderId="82" xfId="0" applyNumberFormat="1" applyFont="1" applyFill="1" applyBorder="1"/>
    <xf numFmtId="4" fontId="25" fillId="13" borderId="55" xfId="0" applyNumberFormat="1" applyFont="1" applyFill="1" applyBorder="1"/>
    <xf numFmtId="4" fontId="25" fillId="13" borderId="78" xfId="0" applyNumberFormat="1" applyFont="1" applyFill="1" applyBorder="1"/>
    <xf numFmtId="3" fontId="5" fillId="13" borderId="11" xfId="0" applyNumberFormat="1" applyFont="1" applyFill="1" applyBorder="1"/>
    <xf numFmtId="4" fontId="5" fillId="13" borderId="22" xfId="0" applyNumberFormat="1" applyFont="1" applyFill="1" applyBorder="1"/>
    <xf numFmtId="0" fontId="5" fillId="13" borderId="11" xfId="0" applyFont="1" applyFill="1" applyBorder="1"/>
    <xf numFmtId="4" fontId="6" fillId="13" borderId="22" xfId="0" applyNumberFormat="1" applyFont="1" applyFill="1" applyBorder="1"/>
    <xf numFmtId="3" fontId="6" fillId="13" borderId="11" xfId="0" applyNumberFormat="1" applyFont="1" applyFill="1" applyBorder="1"/>
    <xf numFmtId="4" fontId="5" fillId="13" borderId="0" xfId="0" applyNumberFormat="1" applyFont="1" applyFill="1"/>
    <xf numFmtId="3" fontId="5" fillId="13" borderId="11" xfId="0" applyNumberFormat="1" applyFont="1" applyFill="1" applyBorder="1" applyProtection="1">
      <protection locked="0"/>
    </xf>
    <xf numFmtId="0" fontId="5" fillId="13" borderId="22" xfId="0" applyFont="1" applyFill="1" applyBorder="1"/>
    <xf numFmtId="0" fontId="42" fillId="13" borderId="22" xfId="0" applyFont="1" applyFill="1" applyBorder="1" applyAlignment="1">
      <alignment horizontal="right"/>
    </xf>
    <xf numFmtId="0" fontId="5" fillId="13" borderId="0" xfId="0" applyFont="1" applyFill="1"/>
    <xf numFmtId="0" fontId="5" fillId="13" borderId="5" xfId="0" applyFont="1" applyFill="1" applyBorder="1"/>
    <xf numFmtId="4" fontId="5" fillId="13" borderId="37" xfId="0" applyNumberFormat="1" applyFont="1" applyFill="1" applyBorder="1"/>
    <xf numFmtId="0" fontId="5" fillId="13" borderId="5" xfId="0" applyFont="1" applyFill="1" applyBorder="1" applyProtection="1">
      <protection locked="0"/>
    </xf>
    <xf numFmtId="4" fontId="5" fillId="13" borderId="37" xfId="0" applyNumberFormat="1" applyFont="1" applyFill="1" applyBorder="1" applyProtection="1">
      <protection locked="0"/>
    </xf>
    <xf numFmtId="0" fontId="5" fillId="13" borderId="51" xfId="0" applyFont="1" applyFill="1" applyBorder="1"/>
    <xf numFmtId="4" fontId="5" fillId="13" borderId="55" xfId="0" applyNumberFormat="1" applyFont="1" applyFill="1" applyBorder="1"/>
    <xf numFmtId="4" fontId="12" fillId="13" borderId="0" xfId="0" applyNumberFormat="1" applyFont="1" applyFill="1" applyAlignment="1">
      <alignment horizontal="right"/>
    </xf>
    <xf numFmtId="4" fontId="5" fillId="13" borderId="18" xfId="0" applyNumberFormat="1" applyFont="1" applyFill="1" applyBorder="1"/>
    <xf numFmtId="4" fontId="5" fillId="13" borderId="55" xfId="2" applyNumberFormat="1" applyFont="1" applyFill="1" applyBorder="1"/>
    <xf numFmtId="4" fontId="5" fillId="13" borderId="79" xfId="2" applyNumberFormat="1" applyFont="1" applyFill="1" applyBorder="1"/>
    <xf numFmtId="4" fontId="5" fillId="13" borderId="75" xfId="0" applyNumberFormat="1" applyFont="1" applyFill="1" applyBorder="1"/>
    <xf numFmtId="4" fontId="5" fillId="13" borderId="75" xfId="0" applyNumberFormat="1" applyFont="1" applyFill="1" applyBorder="1" applyAlignment="1">
      <alignment horizontal="right"/>
    </xf>
    <xf numFmtId="4" fontId="5" fillId="13" borderId="55" xfId="0" applyNumberFormat="1" applyFont="1" applyFill="1" applyBorder="1" applyAlignment="1">
      <alignment horizontal="right"/>
    </xf>
    <xf numFmtId="4" fontId="5" fillId="13" borderId="0" xfId="0" applyNumberFormat="1" applyFont="1" applyFill="1" applyAlignment="1">
      <alignment horizontal="right"/>
    </xf>
    <xf numFmtId="4" fontId="5" fillId="13" borderId="23" xfId="0" applyNumberFormat="1" applyFont="1" applyFill="1" applyBorder="1"/>
    <xf numFmtId="0" fontId="5" fillId="0" borderId="73" xfId="0" applyFont="1" applyBorder="1"/>
    <xf numFmtId="0" fontId="5" fillId="0" borderId="20" xfId="0" applyFont="1" applyBorder="1" applyAlignment="1">
      <alignment horizontal="right"/>
    </xf>
    <xf numFmtId="4" fontId="12" fillId="0" borderId="24" xfId="0" applyNumberFormat="1" applyFont="1" applyBorder="1" applyAlignment="1">
      <alignment horizontal="right"/>
    </xf>
    <xf numFmtId="0" fontId="5" fillId="14" borderId="0" xfId="0" applyFont="1" applyFill="1"/>
    <xf numFmtId="4" fontId="5" fillId="14" borderId="22" xfId="0" applyNumberFormat="1" applyFont="1" applyFill="1" applyBorder="1"/>
    <xf numFmtId="0" fontId="5" fillId="14" borderId="20" xfId="0" applyFont="1" applyFill="1" applyBorder="1"/>
    <xf numFmtId="0" fontId="5" fillId="14" borderId="36" xfId="0" applyFont="1" applyFill="1" applyBorder="1" applyProtection="1">
      <protection locked="0"/>
    </xf>
    <xf numFmtId="4" fontId="5" fillId="14" borderId="37" xfId="0" applyNumberFormat="1" applyFont="1" applyFill="1" applyBorder="1" applyProtection="1">
      <protection locked="0"/>
    </xf>
    <xf numFmtId="3" fontId="21" fillId="14" borderId="36" xfId="0" applyNumberFormat="1" applyFont="1" applyFill="1" applyBorder="1" applyProtection="1">
      <protection locked="0"/>
    </xf>
    <xf numFmtId="4" fontId="21" fillId="14" borderId="37" xfId="0" applyNumberFormat="1" applyFont="1" applyFill="1" applyBorder="1" applyProtection="1">
      <protection locked="0"/>
    </xf>
    <xf numFmtId="4" fontId="5" fillId="14" borderId="11" xfId="0" applyNumberFormat="1" applyFont="1" applyFill="1" applyBorder="1"/>
    <xf numFmtId="0" fontId="5" fillId="0" borderId="74" xfId="0" applyFont="1" applyBorder="1"/>
    <xf numFmtId="0" fontId="5" fillId="0" borderId="24" xfId="0" applyFont="1" applyBorder="1"/>
    <xf numFmtId="4" fontId="21" fillId="0" borderId="22" xfId="0" applyNumberFormat="1" applyFont="1" applyBorder="1"/>
    <xf numFmtId="0" fontId="21" fillId="0" borderId="22" xfId="0" applyFont="1" applyBorder="1"/>
    <xf numFmtId="4" fontId="21" fillId="0" borderId="23" xfId="0" applyNumberFormat="1" applyFont="1" applyBorder="1"/>
    <xf numFmtId="0" fontId="12" fillId="0" borderId="51" xfId="0" applyFont="1" applyBorder="1" applyAlignment="1">
      <alignment vertical="center" wrapText="1"/>
    </xf>
    <xf numFmtId="0" fontId="12" fillId="0" borderId="55" xfId="0" applyFont="1" applyBorder="1" applyAlignment="1">
      <alignment vertical="center" wrapText="1"/>
    </xf>
    <xf numFmtId="0" fontId="12" fillId="0" borderId="74" xfId="0" applyFont="1" applyBorder="1" applyAlignment="1">
      <alignment horizontal="right"/>
    </xf>
    <xf numFmtId="4" fontId="5" fillId="0" borderId="23" xfId="0" applyNumberFormat="1" applyFont="1" applyBorder="1"/>
    <xf numFmtId="0" fontId="5" fillId="14" borderId="36" xfId="0" applyFont="1" applyFill="1" applyBorder="1"/>
    <xf numFmtId="0" fontId="5" fillId="14" borderId="37" xfId="0" applyFont="1" applyFill="1" applyBorder="1"/>
    <xf numFmtId="0" fontId="12" fillId="14" borderId="38" xfId="0" applyFont="1" applyFill="1" applyBorder="1" applyAlignment="1">
      <alignment vertical="center" wrapText="1"/>
    </xf>
    <xf numFmtId="0" fontId="12" fillId="14" borderId="40" xfId="0" applyFont="1" applyFill="1" applyBorder="1" applyAlignment="1">
      <alignment vertical="center" wrapText="1"/>
    </xf>
    <xf numFmtId="4" fontId="5" fillId="14" borderId="0" xfId="0" applyNumberFormat="1" applyFont="1" applyFill="1"/>
    <xf numFmtId="4" fontId="5" fillId="14" borderId="0" xfId="0" applyNumberFormat="1" applyFont="1" applyFill="1" applyAlignment="1">
      <alignment horizontal="right"/>
    </xf>
    <xf numFmtId="4" fontId="21" fillId="0" borderId="0" xfId="0" applyNumberFormat="1" applyFont="1" applyAlignment="1">
      <alignment horizontal="right"/>
    </xf>
    <xf numFmtId="4" fontId="21" fillId="0" borderId="20" xfId="0" applyNumberFormat="1" applyFont="1" applyBorder="1"/>
    <xf numFmtId="0" fontId="12" fillId="0" borderId="36" xfId="0" applyFont="1" applyBorder="1" applyAlignment="1">
      <alignment horizontal="right"/>
    </xf>
    <xf numFmtId="0" fontId="5" fillId="0" borderId="75" xfId="0" applyFont="1" applyBorder="1"/>
    <xf numFmtId="0" fontId="12" fillId="0" borderId="12" xfId="0" applyFont="1" applyBorder="1" applyAlignment="1">
      <alignment horizontal="right"/>
    </xf>
    <xf numFmtId="4" fontId="5" fillId="0" borderId="75" xfId="0" applyNumberFormat="1" applyFont="1" applyBorder="1"/>
    <xf numFmtId="43" fontId="21" fillId="0" borderId="4" xfId="0" applyNumberFormat="1" applyFont="1" applyBorder="1"/>
    <xf numFmtId="0" fontId="5" fillId="0" borderId="25" xfId="0" applyFont="1" applyBorder="1"/>
    <xf numFmtId="4" fontId="6" fillId="0" borderId="4" xfId="0" applyNumberFormat="1" applyFont="1" applyBorder="1"/>
    <xf numFmtId="4" fontId="21" fillId="0" borderId="37" xfId="0" applyNumberFormat="1" applyFont="1" applyBorder="1"/>
    <xf numFmtId="4" fontId="21" fillId="0" borderId="25" xfId="0" applyNumberFormat="1" applyFont="1" applyBorder="1"/>
    <xf numFmtId="4" fontId="6" fillId="13" borderId="75" xfId="0" applyNumberFormat="1" applyFont="1" applyFill="1" applyBorder="1" applyAlignment="1">
      <alignment horizontal="center"/>
    </xf>
    <xf numFmtId="4" fontId="6" fillId="13" borderId="4" xfId="0" applyNumberFormat="1" applyFont="1" applyFill="1" applyBorder="1" applyAlignment="1">
      <alignment horizontal="center"/>
    </xf>
    <xf numFmtId="2" fontId="6" fillId="0" borderId="92" xfId="0" applyNumberFormat="1" applyFont="1" applyBorder="1" applyAlignment="1">
      <alignment vertical="center"/>
    </xf>
    <xf numFmtId="4" fontId="7" fillId="0" borderId="1" xfId="0" applyNumberFormat="1" applyFont="1" applyBorder="1" applyAlignment="1">
      <alignment horizontal="right"/>
    </xf>
    <xf numFmtId="4" fontId="5" fillId="14" borderId="8" xfId="2" applyNumberFormat="1" applyFont="1" applyFill="1" applyBorder="1" applyAlignment="1">
      <alignment horizontal="right" vertical="center"/>
    </xf>
    <xf numFmtId="43" fontId="5" fillId="14" borderId="6" xfId="2" applyFont="1" applyFill="1" applyBorder="1" applyAlignment="1">
      <alignment vertical="center"/>
    </xf>
    <xf numFmtId="4" fontId="6" fillId="14" borderId="6" xfId="2" applyNumberFormat="1" applyFont="1" applyFill="1" applyBorder="1" applyAlignment="1">
      <alignment vertical="center"/>
    </xf>
    <xf numFmtId="43" fontId="5" fillId="14" borderId="0" xfId="2" applyFont="1" applyFill="1" applyBorder="1" applyAlignment="1">
      <alignment vertical="center"/>
    </xf>
    <xf numFmtId="4" fontId="6" fillId="14" borderId="0" xfId="2" applyNumberFormat="1" applyFont="1" applyFill="1" applyBorder="1" applyAlignment="1">
      <alignment vertical="center"/>
    </xf>
    <xf numFmtId="4" fontId="6" fillId="0" borderId="37" xfId="0" applyNumberFormat="1" applyFont="1" applyBorder="1" applyAlignment="1">
      <alignment horizontal="center"/>
    </xf>
    <xf numFmtId="4" fontId="6" fillId="0" borderId="16" xfId="0" applyNumberFormat="1" applyFont="1" applyBorder="1" applyProtection="1">
      <protection locked="0"/>
    </xf>
    <xf numFmtId="0" fontId="38" fillId="0" borderId="19" xfId="0" applyFont="1" applyBorder="1" applyAlignment="1">
      <alignment vertical="center" wrapText="1"/>
    </xf>
    <xf numFmtId="4" fontId="21" fillId="0" borderId="48" xfId="0" applyNumberFormat="1" applyFont="1" applyBorder="1" applyAlignment="1">
      <alignment vertical="center"/>
    </xf>
    <xf numFmtId="4" fontId="21" fillId="0" borderId="75" xfId="0" applyNumberFormat="1" applyFont="1" applyBorder="1" applyAlignment="1">
      <alignment vertical="center"/>
    </xf>
    <xf numFmtId="4" fontId="21" fillId="0" borderId="27" xfId="0" applyNumberFormat="1" applyFont="1" applyBorder="1" applyAlignment="1">
      <alignment vertical="center"/>
    </xf>
    <xf numFmtId="4" fontId="21" fillId="0" borderId="0" xfId="0" applyNumberFormat="1" applyFont="1" applyAlignment="1">
      <alignment vertical="center"/>
    </xf>
    <xf numFmtId="0" fontId="21" fillId="0" borderId="63" xfId="0" applyFont="1" applyBorder="1" applyAlignment="1">
      <alignment horizontal="left" vertical="center"/>
    </xf>
    <xf numFmtId="0" fontId="21" fillId="0" borderId="8" xfId="0" applyFont="1" applyBorder="1" applyAlignment="1">
      <alignment vertical="center"/>
    </xf>
    <xf numFmtId="4" fontId="21" fillId="0" borderId="62" xfId="0" applyNumberFormat="1" applyFont="1" applyBorder="1" applyAlignment="1">
      <alignment vertical="center"/>
    </xf>
    <xf numFmtId="0" fontId="21" fillId="0" borderId="9" xfId="0" applyFont="1" applyBorder="1" applyAlignment="1">
      <alignment horizontal="center" vertical="center"/>
    </xf>
    <xf numFmtId="4" fontId="21" fillId="0" borderId="8" xfId="2" applyNumberFormat="1" applyFont="1" applyBorder="1" applyAlignment="1">
      <alignment horizontal="right" vertical="center"/>
    </xf>
    <xf numFmtId="4" fontId="21" fillId="0" borderId="9" xfId="2" applyNumberFormat="1" applyFont="1" applyBorder="1" applyAlignment="1">
      <alignment horizontal="right" vertical="center"/>
    </xf>
    <xf numFmtId="4" fontId="21" fillId="0" borderId="5" xfId="0" applyNumberFormat="1" applyFont="1" applyBorder="1" applyAlignment="1">
      <alignment vertical="center"/>
    </xf>
    <xf numFmtId="4" fontId="21" fillId="0" borderId="8" xfId="0" applyNumberFormat="1" applyFont="1" applyBorder="1" applyAlignment="1">
      <alignment vertical="center"/>
    </xf>
    <xf numFmtId="4" fontId="28" fillId="0" borderId="26" xfId="5" applyNumberFormat="1" applyFont="1" applyFill="1" applyBorder="1" applyAlignment="1" applyProtection="1">
      <protection locked="0"/>
    </xf>
    <xf numFmtId="0" fontId="5" fillId="0" borderId="15" xfId="0" applyFont="1" applyBorder="1" applyProtection="1">
      <protection locked="0"/>
    </xf>
    <xf numFmtId="4" fontId="5" fillId="0" borderId="16" xfId="0" applyNumberFormat="1" applyFont="1" applyBorder="1" applyProtection="1">
      <protection locked="0"/>
    </xf>
    <xf numFmtId="3" fontId="5" fillId="0" borderId="15" xfId="0" applyNumberFormat="1" applyFont="1" applyBorder="1" applyProtection="1">
      <protection locked="0"/>
    </xf>
    <xf numFmtId="4" fontId="5" fillId="0" borderId="7" xfId="0" applyNumberFormat="1" applyFont="1" applyBorder="1" applyProtection="1">
      <protection locked="0"/>
    </xf>
    <xf numFmtId="0" fontId="6" fillId="0" borderId="98" xfId="0" applyFont="1" applyBorder="1" applyAlignment="1">
      <alignment horizontal="left" vertical="center"/>
    </xf>
    <xf numFmtId="0" fontId="18" fillId="0" borderId="0" xfId="0" applyFont="1" applyAlignment="1">
      <alignment horizontal="left" wrapText="1"/>
    </xf>
    <xf numFmtId="0" fontId="17" fillId="7" borderId="46" xfId="0" applyFont="1" applyFill="1" applyBorder="1" applyAlignment="1">
      <alignment horizontal="center" wrapText="1"/>
    </xf>
    <xf numFmtId="0" fontId="17" fillId="7" borderId="6" xfId="0" applyFont="1" applyFill="1" applyBorder="1" applyAlignment="1">
      <alignment horizontal="center"/>
    </xf>
    <xf numFmtId="0" fontId="17" fillId="7" borderId="2" xfId="0" applyFont="1" applyFill="1" applyBorder="1" applyAlignment="1">
      <alignment horizontal="center"/>
    </xf>
    <xf numFmtId="0" fontId="18" fillId="4" borderId="7"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9" xfId="0" applyFont="1" applyFill="1" applyBorder="1" applyAlignment="1">
      <alignment horizontal="center" vertical="center"/>
    </xf>
    <xf numFmtId="0" fontId="18" fillId="0" borderId="0" xfId="0" applyFont="1" applyAlignment="1">
      <alignment horizontal="left" vertical="top"/>
    </xf>
    <xf numFmtId="0" fontId="18" fillId="0" borderId="0" xfId="0" applyFont="1" applyAlignment="1">
      <alignment horizontal="center" wrapText="1"/>
    </xf>
    <xf numFmtId="4" fontId="6" fillId="13" borderId="36" xfId="0" applyNumberFormat="1" applyFont="1" applyFill="1" applyBorder="1" applyAlignment="1">
      <alignment horizontal="center" vertical="center"/>
    </xf>
    <xf numFmtId="4" fontId="6" fillId="13" borderId="75" xfId="0" applyNumberFormat="1" applyFont="1" applyFill="1" applyBorder="1" applyAlignment="1">
      <alignment horizontal="center" vertical="center"/>
    </xf>
    <xf numFmtId="4" fontId="6" fillId="13" borderId="37" xfId="0" applyNumberFormat="1" applyFont="1" applyFill="1" applyBorder="1" applyAlignment="1">
      <alignment horizontal="center" vertical="center"/>
    </xf>
    <xf numFmtId="4" fontId="6" fillId="13" borderId="83" xfId="0" applyNumberFormat="1" applyFont="1" applyFill="1" applyBorder="1" applyAlignment="1">
      <alignment horizontal="center" vertical="center"/>
    </xf>
    <xf numFmtId="4" fontId="6" fillId="13" borderId="84" xfId="0" applyNumberFormat="1" applyFont="1" applyFill="1" applyBorder="1" applyAlignment="1">
      <alignment horizontal="center" vertical="center"/>
    </xf>
    <xf numFmtId="4" fontId="6" fillId="13" borderId="85" xfId="0" applyNumberFormat="1" applyFont="1" applyFill="1" applyBorder="1" applyAlignment="1">
      <alignment horizontal="center" vertical="center"/>
    </xf>
    <xf numFmtId="4" fontId="25" fillId="13" borderId="51" xfId="0" applyNumberFormat="1" applyFont="1" applyFill="1" applyBorder="1" applyAlignment="1">
      <alignment horizontal="center" vertical="center"/>
    </xf>
    <xf numFmtId="4" fontId="25" fillId="13" borderId="55" xfId="0" applyNumberFormat="1" applyFont="1" applyFill="1" applyBorder="1" applyAlignment="1">
      <alignment horizontal="center" vertical="center"/>
    </xf>
    <xf numFmtId="4" fontId="25" fillId="13" borderId="76" xfId="0" applyNumberFormat="1" applyFont="1" applyFill="1" applyBorder="1" applyAlignment="1">
      <alignment horizontal="center" vertical="center"/>
    </xf>
    <xf numFmtId="4" fontId="25" fillId="13" borderId="71" xfId="0" applyNumberFormat="1" applyFont="1" applyFill="1" applyBorder="1" applyAlignment="1">
      <alignment horizontal="center" vertical="center"/>
    </xf>
    <xf numFmtId="4" fontId="5" fillId="13" borderId="38" xfId="0" applyNumberFormat="1" applyFont="1" applyFill="1" applyBorder="1" applyAlignment="1">
      <alignment horizontal="center" vertical="center"/>
    </xf>
    <xf numFmtId="4" fontId="5" fillId="13" borderId="40" xfId="0" applyNumberFormat="1" applyFont="1" applyFill="1" applyBorder="1" applyAlignment="1">
      <alignment horizontal="center" vertical="center"/>
    </xf>
    <xf numFmtId="4" fontId="6" fillId="13" borderId="73" xfId="0" applyNumberFormat="1" applyFont="1" applyFill="1" applyBorder="1" applyAlignment="1">
      <alignment horizontal="center" vertical="center"/>
    </xf>
    <xf numFmtId="4" fontId="6" fillId="13" borderId="24" xfId="0" applyNumberFormat="1" applyFont="1" applyFill="1" applyBorder="1" applyAlignment="1">
      <alignment horizontal="center" vertical="center"/>
    </xf>
    <xf numFmtId="4" fontId="5" fillId="13" borderId="53" xfId="0" applyNumberFormat="1" applyFont="1" applyFill="1" applyBorder="1" applyAlignment="1">
      <alignment horizontal="center" vertical="center"/>
    </xf>
    <xf numFmtId="4" fontId="5" fillId="13" borderId="57" xfId="0" applyNumberFormat="1" applyFont="1" applyFill="1" applyBorder="1" applyAlignment="1">
      <alignment horizontal="center" vertical="center"/>
    </xf>
    <xf numFmtId="0" fontId="49" fillId="0" borderId="11" xfId="0" applyFont="1" applyBorder="1" applyAlignment="1">
      <alignment horizontal="center"/>
    </xf>
    <xf numFmtId="0" fontId="49" fillId="0" borderId="12" xfId="0" applyFont="1" applyBorder="1" applyAlignment="1">
      <alignment horizontal="center"/>
    </xf>
    <xf numFmtId="0" fontId="25" fillId="0" borderId="50"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4" xfId="0" applyFont="1" applyBorder="1" applyAlignment="1">
      <alignment horizontal="center" vertical="center" wrapText="1"/>
    </xf>
    <xf numFmtId="0" fontId="6" fillId="0" borderId="11" xfId="0" applyFont="1" applyBorder="1" applyAlignment="1">
      <alignment horizontal="center" wrapText="1"/>
    </xf>
    <xf numFmtId="0" fontId="6" fillId="0" borderId="74" xfId="0" applyFont="1" applyBorder="1" applyAlignment="1">
      <alignment horizont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left" vertical="top"/>
      <protection locked="0"/>
    </xf>
    <xf numFmtId="0" fontId="47" fillId="14" borderId="38" xfId="0" applyFont="1" applyFill="1" applyBorder="1" applyAlignment="1">
      <alignment horizontal="center" vertical="center" wrapText="1"/>
    </xf>
    <xf numFmtId="0" fontId="47" fillId="14" borderId="40" xfId="0" applyFont="1" applyFill="1" applyBorder="1" applyAlignment="1">
      <alignment horizontal="center" vertical="center" wrapText="1"/>
    </xf>
    <xf numFmtId="4" fontId="52" fillId="14" borderId="38" xfId="2" applyNumberFormat="1" applyFont="1" applyFill="1" applyBorder="1" applyAlignment="1">
      <alignment horizontal="center" vertical="center"/>
    </xf>
    <xf numFmtId="4" fontId="52" fillId="14" borderId="40" xfId="2" applyNumberFormat="1" applyFont="1" applyFill="1" applyBorder="1" applyAlignment="1">
      <alignment horizontal="center" vertical="center"/>
    </xf>
    <xf numFmtId="4" fontId="5" fillId="13" borderId="12" xfId="0" applyNumberFormat="1" applyFont="1" applyFill="1" applyBorder="1" applyAlignment="1">
      <alignment horizontal="center" vertical="center"/>
    </xf>
    <xf numFmtId="4" fontId="5" fillId="13" borderId="4" xfId="0" applyNumberFormat="1" applyFont="1" applyFill="1" applyBorder="1" applyAlignment="1">
      <alignment horizontal="center" vertical="center"/>
    </xf>
    <xf numFmtId="4" fontId="5" fillId="13" borderId="25" xfId="0" applyNumberFormat="1" applyFont="1" applyFill="1" applyBorder="1" applyAlignment="1">
      <alignment horizontal="center" vertical="center"/>
    </xf>
    <xf numFmtId="4" fontId="5" fillId="13" borderId="39" xfId="0" applyNumberFormat="1" applyFont="1" applyFill="1" applyBorder="1" applyAlignment="1">
      <alignment horizontal="center" vertical="center"/>
    </xf>
    <xf numFmtId="4" fontId="5" fillId="13" borderId="38" xfId="0" applyNumberFormat="1" applyFont="1" applyFill="1" applyBorder="1" applyAlignment="1">
      <alignment horizontal="center" vertical="center" wrapText="1"/>
    </xf>
    <xf numFmtId="4" fontId="5" fillId="13" borderId="39" xfId="0" applyNumberFormat="1" applyFont="1" applyFill="1" applyBorder="1" applyAlignment="1">
      <alignment horizontal="center" vertical="center" wrapText="1"/>
    </xf>
    <xf numFmtId="4" fontId="5" fillId="13" borderId="40" xfId="0" applyNumberFormat="1" applyFont="1" applyFill="1" applyBorder="1" applyAlignment="1">
      <alignment horizontal="center" vertical="center" wrapText="1"/>
    </xf>
    <xf numFmtId="4" fontId="5" fillId="13" borderId="52" xfId="0" applyNumberFormat="1" applyFont="1" applyFill="1" applyBorder="1" applyAlignment="1">
      <alignment horizontal="center" vertical="center"/>
    </xf>
    <xf numFmtId="4" fontId="5" fillId="13" borderId="56" xfId="0" applyNumberFormat="1" applyFont="1" applyFill="1" applyBorder="1" applyAlignment="1">
      <alignment horizontal="center" vertical="center"/>
    </xf>
    <xf numFmtId="4" fontId="5" fillId="14" borderId="51" xfId="0" applyNumberFormat="1" applyFont="1" applyFill="1" applyBorder="1" applyAlignment="1">
      <alignment horizontal="center" vertical="center" wrapText="1"/>
    </xf>
    <xf numFmtId="4" fontId="5" fillId="14" borderId="0" xfId="0" applyNumberFormat="1" applyFont="1" applyFill="1" applyAlignment="1">
      <alignment horizontal="center" vertical="center" wrapText="1"/>
    </xf>
    <xf numFmtId="4" fontId="5" fillId="14" borderId="55" xfId="0" applyNumberFormat="1" applyFont="1" applyFill="1" applyBorder="1" applyAlignment="1">
      <alignment horizontal="center" vertical="center" wrapText="1"/>
    </xf>
    <xf numFmtId="4" fontId="6" fillId="13" borderId="86" xfId="0" applyNumberFormat="1" applyFont="1" applyFill="1" applyBorder="1" applyAlignment="1">
      <alignment horizontal="center" vertical="center"/>
    </xf>
    <xf numFmtId="4" fontId="6" fillId="13" borderId="87" xfId="0" applyNumberFormat="1" applyFont="1" applyFill="1" applyBorder="1" applyAlignment="1">
      <alignment horizontal="center" vertical="center"/>
    </xf>
    <xf numFmtId="4" fontId="6" fillId="13" borderId="88" xfId="0" applyNumberFormat="1" applyFont="1" applyFill="1" applyBorder="1" applyAlignment="1">
      <alignment horizontal="center" vertical="center"/>
    </xf>
    <xf numFmtId="4" fontId="6" fillId="13" borderId="89" xfId="0" applyNumberFormat="1" applyFont="1" applyFill="1" applyBorder="1" applyAlignment="1">
      <alignment horizontal="center" vertical="center"/>
    </xf>
    <xf numFmtId="4" fontId="25" fillId="13" borderId="86" xfId="0" applyNumberFormat="1" applyFont="1" applyFill="1" applyBorder="1" applyAlignment="1">
      <alignment horizontal="center" vertical="center"/>
    </xf>
    <xf numFmtId="4" fontId="25" fillId="13" borderId="87" xfId="0" applyNumberFormat="1" applyFont="1" applyFill="1" applyBorder="1" applyAlignment="1">
      <alignment horizontal="center" vertical="center"/>
    </xf>
    <xf numFmtId="0" fontId="5"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21" xfId="0" applyFont="1" applyBorder="1" applyAlignment="1">
      <alignment horizontal="left" vertical="center" wrapText="1"/>
    </xf>
    <xf numFmtId="0" fontId="25" fillId="0" borderId="50" xfId="0" applyFont="1" applyBorder="1" applyAlignment="1">
      <alignment horizontal="left" vertical="center" wrapText="1"/>
    </xf>
    <xf numFmtId="0" fontId="25" fillId="0" borderId="54" xfId="0" applyFont="1" applyBorder="1" applyAlignment="1">
      <alignment horizontal="left" vertical="center" wrapText="1"/>
    </xf>
    <xf numFmtId="0" fontId="5" fillId="0" borderId="72"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4" xfId="0" applyFont="1" applyBorder="1" applyAlignment="1">
      <alignment horizontal="center" vertical="center" wrapText="1"/>
    </xf>
    <xf numFmtId="0" fontId="43" fillId="0" borderId="51" xfId="0" applyFont="1" applyBorder="1" applyAlignment="1">
      <alignment horizontal="center" vertical="center" wrapText="1"/>
    </xf>
    <xf numFmtId="0" fontId="43" fillId="0" borderId="55"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11" xfId="0" applyFont="1" applyBorder="1" applyAlignment="1">
      <alignment horizontal="center"/>
    </xf>
    <xf numFmtId="0" fontId="50" fillId="0" borderId="11" xfId="0" applyFont="1" applyBorder="1" applyAlignment="1">
      <alignment horizontal="center" vertical="center" wrapText="1"/>
    </xf>
    <xf numFmtId="0" fontId="50" fillId="0" borderId="22" xfId="0" applyFont="1" applyBorder="1" applyAlignment="1">
      <alignment horizontal="center" vertical="center" wrapText="1"/>
    </xf>
    <xf numFmtId="0" fontId="22" fillId="14" borderId="0" xfId="0" applyFont="1" applyFill="1" applyAlignment="1">
      <alignment horizontal="center" vertical="center" wrapText="1"/>
    </xf>
    <xf numFmtId="0" fontId="22" fillId="14" borderId="22" xfId="0" applyFont="1" applyFill="1" applyBorder="1" applyAlignment="1">
      <alignment horizontal="center" vertical="center" wrapText="1"/>
    </xf>
    <xf numFmtId="0" fontId="7" fillId="0" borderId="0" xfId="0" applyFont="1" applyAlignment="1">
      <alignment horizontal="center" vertical="center"/>
    </xf>
    <xf numFmtId="0" fontId="7" fillId="4" borderId="0" xfId="0" applyFont="1" applyFill="1" applyAlignment="1" applyProtection="1">
      <alignment horizontal="center" vertical="center"/>
      <protection locked="0"/>
    </xf>
    <xf numFmtId="0" fontId="5" fillId="13" borderId="57" xfId="0" applyFont="1" applyFill="1" applyBorder="1" applyAlignment="1">
      <alignment horizontal="center" vertical="center"/>
    </xf>
    <xf numFmtId="4" fontId="5" fillId="0" borderId="68" xfId="0" applyNumberFormat="1" applyFont="1" applyBorder="1" applyAlignment="1">
      <alignment horizontal="center" vertical="center"/>
    </xf>
    <xf numFmtId="4" fontId="5" fillId="0" borderId="69" xfId="0" applyNumberFormat="1" applyFont="1" applyBorder="1" applyAlignment="1">
      <alignment horizontal="center" vertical="center"/>
    </xf>
    <xf numFmtId="4" fontId="5" fillId="0" borderId="70" xfId="0" applyNumberFormat="1" applyFont="1" applyBorder="1" applyAlignment="1">
      <alignment horizontal="center" vertical="center"/>
    </xf>
    <xf numFmtId="0" fontId="5" fillId="0" borderId="50" xfId="0" applyFont="1" applyBorder="1" applyAlignment="1">
      <alignment horizontal="left" vertical="center" wrapText="1"/>
    </xf>
    <xf numFmtId="0" fontId="5" fillId="0" borderId="66" xfId="0" applyFont="1" applyBorder="1" applyAlignment="1">
      <alignment horizontal="left" vertical="center" wrapText="1"/>
    </xf>
    <xf numFmtId="0" fontId="5" fillId="0" borderId="54" xfId="0" applyFont="1" applyBorder="1" applyAlignment="1">
      <alignment horizontal="left" vertical="center" wrapText="1"/>
    </xf>
    <xf numFmtId="0" fontId="47" fillId="14" borderId="39" xfId="0" applyFont="1" applyFill="1" applyBorder="1" applyAlignment="1">
      <alignment horizontal="center" vertical="center" wrapText="1"/>
    </xf>
    <xf numFmtId="0" fontId="44" fillId="14" borderId="0" xfId="0" applyFont="1" applyFill="1" applyAlignment="1">
      <alignment horizontal="center" vertical="center" wrapText="1"/>
    </xf>
    <xf numFmtId="0" fontId="5" fillId="0" borderId="0" xfId="0" applyFont="1" applyAlignment="1">
      <alignment horizontal="left" vertical="top"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50" fillId="0" borderId="0" xfId="0" applyFont="1" applyAlignment="1">
      <alignment horizontal="center" vertical="center" wrapText="1"/>
    </xf>
    <xf numFmtId="4" fontId="5" fillId="13" borderId="68" xfId="0" applyNumberFormat="1" applyFont="1" applyFill="1" applyBorder="1" applyAlignment="1">
      <alignment horizontal="center" vertical="center"/>
    </xf>
    <xf numFmtId="4" fontId="5" fillId="13" borderId="69" xfId="0" applyNumberFormat="1" applyFont="1" applyFill="1" applyBorder="1" applyAlignment="1">
      <alignment horizontal="center" vertical="center"/>
    </xf>
    <xf numFmtId="4" fontId="5" fillId="13" borderId="70" xfId="0" applyNumberFormat="1" applyFont="1" applyFill="1" applyBorder="1" applyAlignment="1">
      <alignment horizontal="center" vertical="center"/>
    </xf>
    <xf numFmtId="0" fontId="30" fillId="0" borderId="0" xfId="0" applyFont="1" applyAlignment="1">
      <alignment horizontal="center"/>
    </xf>
    <xf numFmtId="0" fontId="5" fillId="0" borderId="61" xfId="0" applyFont="1" applyBorder="1" applyAlignment="1">
      <alignment horizontal="center"/>
    </xf>
    <xf numFmtId="0" fontId="5" fillId="0" borderId="49" xfId="0" applyFont="1" applyBorder="1" applyAlignment="1">
      <alignment horizontal="center"/>
    </xf>
    <xf numFmtId="0" fontId="29" fillId="0" borderId="0" xfId="4" quotePrefix="1" applyFont="1" applyFill="1" applyAlignment="1" applyProtection="1">
      <alignment horizontal="center" vertical="center"/>
    </xf>
    <xf numFmtId="0" fontId="29" fillId="0" borderId="0" xfId="4" applyFont="1" applyFill="1" applyAlignment="1" applyProtection="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5" fillId="0" borderId="10" xfId="0" applyFont="1" applyBorder="1" applyAlignment="1">
      <alignment horizontal="center"/>
    </xf>
    <xf numFmtId="0" fontId="5" fillId="0" borderId="12" xfId="0" applyFont="1" applyBorder="1" applyAlignment="1">
      <alignment horizontal="center"/>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6" xfId="0" applyFont="1" applyBorder="1" applyAlignment="1">
      <alignment horizontal="center"/>
    </xf>
    <xf numFmtId="0" fontId="5" fillId="0" borderId="24" xfId="0" applyFont="1" applyBorder="1" applyAlignment="1">
      <alignment horizontal="center" vertical="center" wrapText="1"/>
    </xf>
    <xf numFmtId="0" fontId="5" fillId="0" borderId="20" xfId="0" applyFont="1" applyBorder="1" applyAlignment="1">
      <alignment horizontal="center"/>
    </xf>
    <xf numFmtId="0" fontId="5" fillId="0" borderId="0" xfId="0" applyFont="1" applyAlignment="1">
      <alignment horizontal="center"/>
    </xf>
    <xf numFmtId="0" fontId="7" fillId="0" borderId="3" xfId="0" applyFont="1" applyBorder="1" applyAlignment="1">
      <alignment horizontal="center" vertical="top"/>
    </xf>
    <xf numFmtId="0" fontId="7" fillId="0" borderId="0" xfId="0" applyFont="1" applyAlignment="1">
      <alignment horizontal="center" vertical="top"/>
    </xf>
    <xf numFmtId="0" fontId="7" fillId="0" borderId="4" xfId="0" applyFont="1" applyBorder="1" applyAlignment="1">
      <alignment horizontal="center" vertical="top"/>
    </xf>
    <xf numFmtId="0" fontId="7" fillId="0" borderId="0" xfId="0" applyFont="1" applyAlignment="1">
      <alignment horizontal="left" vertical="center"/>
    </xf>
    <xf numFmtId="0" fontId="6" fillId="0" borderId="94" xfId="0" applyFont="1" applyBorder="1" applyAlignment="1">
      <alignment horizontal="center"/>
    </xf>
    <xf numFmtId="0" fontId="6" fillId="0" borderId="45" xfId="0" applyFont="1" applyBorder="1" applyAlignment="1">
      <alignment horizontal="center"/>
    </xf>
    <xf numFmtId="0" fontId="6" fillId="0" borderId="44" xfId="0" applyFont="1" applyBorder="1" applyAlignment="1">
      <alignment horizontal="center"/>
    </xf>
    <xf numFmtId="0" fontId="5" fillId="0" borderId="46" xfId="0" applyFont="1" applyBorder="1" applyAlignment="1">
      <alignment horizontal="left" vertical="top" wrapText="1"/>
    </xf>
    <xf numFmtId="0" fontId="5" fillId="0" borderId="6" xfId="0" applyFont="1" applyBorder="1" applyAlignment="1">
      <alignment horizontal="left" vertical="top" wrapText="1"/>
    </xf>
    <xf numFmtId="0" fontId="5" fillId="0" borderId="2" xfId="0" applyFont="1" applyBorder="1" applyAlignment="1">
      <alignment horizontal="left" vertical="top" wrapText="1"/>
    </xf>
    <xf numFmtId="0" fontId="5" fillId="0" borderId="20" xfId="0" applyFont="1" applyBorder="1" applyAlignment="1">
      <alignment horizontal="left" vertical="top" wrapText="1"/>
    </xf>
    <xf numFmtId="0" fontId="5" fillId="0" borderId="18" xfId="0" applyFont="1" applyBorder="1" applyAlignment="1">
      <alignment horizontal="left" vertical="top" wrapText="1"/>
    </xf>
    <xf numFmtId="0" fontId="5" fillId="0" borderId="42" xfId="0" applyFont="1" applyBorder="1" applyAlignment="1">
      <alignment horizontal="left" vertical="top" wrapText="1"/>
    </xf>
    <xf numFmtId="0" fontId="5" fillId="0" borderId="1" xfId="0" applyFont="1" applyBorder="1" applyAlignment="1">
      <alignment horizontal="left" vertical="top" wrapText="1"/>
    </xf>
    <xf numFmtId="0" fontId="5" fillId="0" borderId="17" xfId="0" applyFont="1" applyBorder="1" applyAlignment="1">
      <alignment horizontal="left" vertical="top" wrapText="1"/>
    </xf>
    <xf numFmtId="0" fontId="5" fillId="0" borderId="4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8" fillId="0" borderId="3" xfId="0" applyFont="1" applyBorder="1" applyAlignment="1">
      <alignment horizontal="center" vertical="center" wrapText="1"/>
    </xf>
    <xf numFmtId="0" fontId="38" fillId="0" borderId="0" xfId="0" applyFont="1" applyAlignment="1">
      <alignment horizontal="center" vertical="center" wrapText="1"/>
    </xf>
    <xf numFmtId="0" fontId="5" fillId="4" borderId="90"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17" xfId="0" applyFont="1" applyFill="1" applyBorder="1" applyAlignment="1" applyProtection="1">
      <alignment horizontal="center"/>
      <protection locked="0"/>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42"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4" fontId="6" fillId="0" borderId="12" xfId="0" applyNumberFormat="1" applyFont="1" applyBorder="1" applyAlignment="1">
      <alignment horizontal="center" vertical="center"/>
    </xf>
    <xf numFmtId="4" fontId="6" fillId="0" borderId="4" xfId="0" applyNumberFormat="1" applyFont="1" applyBorder="1" applyAlignment="1">
      <alignment horizontal="center" vertical="center"/>
    </xf>
    <xf numFmtId="4" fontId="6" fillId="0" borderId="25" xfId="0" applyNumberFormat="1" applyFont="1" applyBorder="1" applyAlignment="1">
      <alignment horizontal="center" vertical="center"/>
    </xf>
    <xf numFmtId="4" fontId="5" fillId="0" borderId="38" xfId="0" applyNumberFormat="1" applyFont="1" applyBorder="1" applyAlignment="1">
      <alignment horizontal="center" vertical="center"/>
    </xf>
    <xf numFmtId="4" fontId="5" fillId="0" borderId="39" xfId="0" applyNumberFormat="1" applyFont="1" applyBorder="1" applyAlignment="1">
      <alignment horizontal="center" vertical="center"/>
    </xf>
    <xf numFmtId="4" fontId="5" fillId="0" borderId="40" xfId="0" applyNumberFormat="1" applyFont="1" applyBorder="1" applyAlignment="1">
      <alignment horizontal="center" vertical="center"/>
    </xf>
    <xf numFmtId="4" fontId="5" fillId="0" borderId="12" xfId="0" applyNumberFormat="1" applyFont="1" applyBorder="1" applyAlignment="1">
      <alignment horizontal="center" vertical="center"/>
    </xf>
    <xf numFmtId="4" fontId="5" fillId="0" borderId="4" xfId="0" applyNumberFormat="1" applyFont="1" applyBorder="1" applyAlignment="1">
      <alignment horizontal="center" vertical="center"/>
    </xf>
    <xf numFmtId="4" fontId="5" fillId="0" borderId="25" xfId="0" applyNumberFormat="1" applyFont="1" applyBorder="1" applyAlignment="1">
      <alignment horizontal="center" vertical="center"/>
    </xf>
    <xf numFmtId="4" fontId="5" fillId="0" borderId="38" xfId="0" applyNumberFormat="1" applyFont="1" applyBorder="1" applyAlignment="1">
      <alignment horizontal="center" vertical="center" wrapText="1"/>
    </xf>
    <xf numFmtId="4" fontId="5" fillId="0" borderId="40" xfId="0" applyNumberFormat="1" applyFont="1" applyBorder="1" applyAlignment="1">
      <alignment horizontal="center" vertical="center" wrapText="1"/>
    </xf>
    <xf numFmtId="4" fontId="5" fillId="0" borderId="4" xfId="0" quotePrefix="1" applyNumberFormat="1" applyFont="1" applyBorder="1" applyAlignment="1">
      <alignment horizontal="center" wrapText="1"/>
    </xf>
    <xf numFmtId="4" fontId="5" fillId="0" borderId="4" xfId="0" applyNumberFormat="1" applyFont="1" applyBorder="1" applyAlignment="1">
      <alignment horizontal="center" wrapText="1"/>
    </xf>
    <xf numFmtId="4" fontId="5" fillId="0" borderId="0" xfId="0" applyNumberFormat="1" applyFont="1" applyAlignment="1">
      <alignment horizontal="center" vertical="center" wrapText="1"/>
    </xf>
    <xf numFmtId="0" fontId="5" fillId="0" borderId="10" xfId="0" applyFont="1" applyBorder="1" applyAlignment="1">
      <alignment horizontal="left" vertical="center"/>
    </xf>
    <xf numFmtId="0" fontId="5" fillId="0" borderId="3" xfId="0" applyFont="1" applyBorder="1" applyAlignment="1">
      <alignment horizontal="left" vertical="center"/>
    </xf>
    <xf numFmtId="0" fontId="5" fillId="0" borderId="21" xfId="0" applyFont="1" applyBorder="1" applyAlignment="1">
      <alignment horizontal="left" vertical="center"/>
    </xf>
    <xf numFmtId="0" fontId="17" fillId="0" borderId="61"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49" xfId="0" applyFont="1" applyBorder="1" applyAlignment="1">
      <alignment horizontal="center" vertical="center" wrapText="1"/>
    </xf>
    <xf numFmtId="0" fontId="5" fillId="0" borderId="0" xfId="0" applyFont="1" applyAlignment="1">
      <alignment horizontal="center" vertical="center"/>
    </xf>
    <xf numFmtId="0" fontId="5" fillId="0" borderId="58" xfId="0" applyFont="1" applyBorder="1" applyAlignment="1">
      <alignment horizontal="center" vertical="center" wrapText="1"/>
    </xf>
    <xf numFmtId="4" fontId="6" fillId="0" borderId="38" xfId="0" applyNumberFormat="1" applyFont="1" applyBorder="1" applyAlignment="1">
      <alignment horizontal="center" vertical="center"/>
    </xf>
    <xf numFmtId="4" fontId="6" fillId="0" borderId="39" xfId="0" applyNumberFormat="1" applyFont="1" applyBorder="1" applyAlignment="1">
      <alignment horizontal="center" vertical="center"/>
    </xf>
    <xf numFmtId="4" fontId="6" fillId="0" borderId="40" xfId="0" applyNumberFormat="1" applyFont="1" applyBorder="1" applyAlignment="1">
      <alignment horizontal="center" vertical="center"/>
    </xf>
    <xf numFmtId="0" fontId="12" fillId="0" borderId="11" xfId="0" applyFont="1" applyBorder="1" applyAlignment="1">
      <alignment horizontal="right"/>
    </xf>
    <xf numFmtId="0" fontId="5" fillId="0" borderId="50" xfId="0" applyFont="1" applyBorder="1" applyAlignment="1">
      <alignment horizontal="left" vertical="center"/>
    </xf>
    <xf numFmtId="0" fontId="5" fillId="0" borderId="54" xfId="0" applyFont="1" applyBorder="1" applyAlignment="1">
      <alignment horizontal="left" vertical="center"/>
    </xf>
    <xf numFmtId="4" fontId="5" fillId="0" borderId="51" xfId="0" applyNumberFormat="1" applyFont="1" applyBorder="1" applyAlignment="1">
      <alignment horizontal="center"/>
    </xf>
    <xf numFmtId="4" fontId="5" fillId="0" borderId="55" xfId="0" applyNumberFormat="1" applyFont="1" applyBorder="1" applyAlignment="1">
      <alignment horizontal="center"/>
    </xf>
    <xf numFmtId="4" fontId="5" fillId="0" borderId="53" xfId="0" applyNumberFormat="1" applyFont="1" applyBorder="1" applyAlignment="1">
      <alignment horizontal="center"/>
    </xf>
    <xf numFmtId="4" fontId="5" fillId="0" borderId="57" xfId="0" applyNumberFormat="1" applyFont="1" applyBorder="1" applyAlignment="1">
      <alignment horizontal="center"/>
    </xf>
    <xf numFmtId="4" fontId="5" fillId="0" borderId="0" xfId="0" applyNumberFormat="1" applyFont="1" applyAlignment="1">
      <alignment horizontal="center" vertical="center"/>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5" fillId="4" borderId="45"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5" fillId="0" borderId="2" xfId="0" applyFont="1" applyBorder="1" applyAlignment="1">
      <alignment horizontal="center"/>
    </xf>
    <xf numFmtId="0" fontId="5" fillId="0" borderId="19" xfId="0" applyFont="1" applyBorder="1" applyAlignment="1">
      <alignment horizontal="center"/>
    </xf>
    <xf numFmtId="0" fontId="7" fillId="0" borderId="7"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8" fillId="0" borderId="0" xfId="0" applyFont="1" applyAlignment="1">
      <alignment horizontal="left" vertical="center"/>
    </xf>
    <xf numFmtId="0" fontId="24" fillId="0" borderId="5" xfId="0" applyFont="1" applyBorder="1" applyAlignment="1">
      <alignment horizontal="center" vertical="center"/>
    </xf>
    <xf numFmtId="0" fontId="24" fillId="0" borderId="5" xfId="0" applyFont="1" applyBorder="1" applyAlignment="1">
      <alignment horizontal="center" vertical="center" wrapText="1" shrinkToFit="1"/>
    </xf>
    <xf numFmtId="14" fontId="19" fillId="0" borderId="1" xfId="0" applyNumberFormat="1" applyFont="1" applyBorder="1" applyAlignment="1" applyProtection="1">
      <alignment horizontal="center"/>
      <protection locked="0"/>
    </xf>
    <xf numFmtId="0" fontId="28" fillId="0" borderId="11" xfId="0" applyFont="1" applyBorder="1" applyAlignment="1">
      <alignment horizontal="center"/>
    </xf>
    <xf numFmtId="0" fontId="28" fillId="0" borderId="12" xfId="0" applyFont="1" applyBorder="1" applyAlignment="1">
      <alignment horizontal="center"/>
    </xf>
    <xf numFmtId="0" fontId="19" fillId="0" borderId="1" xfId="0" applyFont="1" applyBorder="1" applyAlignment="1">
      <alignment horizontal="right"/>
    </xf>
    <xf numFmtId="4" fontId="28" fillId="0" borderId="7" xfId="0" applyNumberFormat="1" applyFont="1" applyBorder="1" applyAlignment="1">
      <alignment horizontal="right" vertical="center"/>
    </xf>
    <xf numFmtId="4" fontId="28" fillId="0" borderId="62" xfId="0" applyNumberFormat="1" applyFont="1" applyBorder="1" applyAlignment="1">
      <alignment horizontal="right" vertical="center"/>
    </xf>
    <xf numFmtId="4" fontId="24" fillId="0" borderId="6" xfId="0" applyNumberFormat="1" applyFont="1" applyBorder="1" applyAlignment="1">
      <alignment horizontal="center" vertical="center" wrapText="1"/>
    </xf>
    <xf numFmtId="4" fontId="24" fillId="0" borderId="19" xfId="0" applyNumberFormat="1" applyFont="1" applyBorder="1" applyAlignment="1">
      <alignment horizontal="center" vertical="center" wrapText="1"/>
    </xf>
    <xf numFmtId="4" fontId="28" fillId="0" borderId="72" xfId="0" applyNumberFormat="1" applyFont="1" applyBorder="1" applyAlignment="1">
      <alignment horizontal="right" vertical="center"/>
    </xf>
    <xf numFmtId="4" fontId="28" fillId="0" borderId="97" xfId="0" applyNumberFormat="1" applyFont="1" applyBorder="1" applyAlignment="1">
      <alignment horizontal="right" vertical="center"/>
    </xf>
    <xf numFmtId="4" fontId="28" fillId="0" borderId="42" xfId="0" applyNumberFormat="1" applyFont="1" applyBorder="1" applyAlignment="1">
      <alignment horizontal="right" vertical="center"/>
    </xf>
    <xf numFmtId="4" fontId="28" fillId="0" borderId="43" xfId="0" applyNumberFormat="1" applyFont="1" applyBorder="1" applyAlignment="1">
      <alignment horizontal="right" vertical="center"/>
    </xf>
    <xf numFmtId="0" fontId="28" fillId="0" borderId="8" xfId="0" applyFont="1" applyBorder="1" applyAlignment="1">
      <alignment horizontal="center" vertical="center" wrapText="1"/>
    </xf>
    <xf numFmtId="0" fontId="28" fillId="0" borderId="62" xfId="0" applyFont="1" applyBorder="1" applyAlignment="1">
      <alignment horizontal="center" vertical="center" wrapText="1"/>
    </xf>
    <xf numFmtId="0" fontId="28" fillId="0" borderId="6" xfId="0" applyFont="1" applyBorder="1" applyAlignment="1">
      <alignment horizontal="center" vertical="center"/>
    </xf>
    <xf numFmtId="0" fontId="28" fillId="0" borderId="19" xfId="0" applyFont="1" applyBorder="1" applyAlignment="1">
      <alignment horizontal="center" vertical="center"/>
    </xf>
    <xf numFmtId="0" fontId="28" fillId="0" borderId="1" xfId="0" applyFont="1" applyBorder="1" applyAlignment="1">
      <alignment horizontal="center" vertical="center"/>
    </xf>
    <xf numFmtId="0" fontId="28" fillId="0" borderId="43" xfId="0" applyFont="1" applyBorder="1" applyAlignment="1">
      <alignment horizontal="center" vertical="center"/>
    </xf>
    <xf numFmtId="0" fontId="41" fillId="0" borderId="0" xfId="0" applyFont="1" applyAlignment="1">
      <alignment horizontal="center"/>
    </xf>
  </cellXfs>
  <cellStyles count="7">
    <cellStyle name="Komma" xfId="2" builtinId="3"/>
    <cellStyle name="Komma 2" xfId="3" xr:uid="{A0D9AB23-4397-4028-A07D-B3A17F4C8485}"/>
    <cellStyle name="Komma 3" xfId="5" xr:uid="{A02E970E-E290-48DE-98EA-43E47B92E54E}"/>
    <cellStyle name="Link" xfId="4" builtinId="8"/>
    <cellStyle name="Prozent 2" xfId="6" xr:uid="{2912932D-BD68-435C-BF8C-8B6CCF86661A}"/>
    <cellStyle name="Standard" xfId="0" builtinId="0"/>
    <cellStyle name="Standard 2" xfId="1" xr:uid="{00000000-0005-0000-0000-000002000000}"/>
  </cellStyles>
  <dxfs count="256">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rgb="FFFFFF00"/>
        </patternFill>
      </fill>
    </dxf>
    <dxf>
      <fill>
        <patternFill>
          <bgColor rgb="FFFFFF00"/>
        </patternFill>
      </fill>
    </dxf>
    <dxf>
      <fill>
        <patternFill>
          <bgColor rgb="FFFFFF00"/>
        </patternFill>
      </fill>
    </dxf>
    <dxf>
      <font>
        <color theme="0"/>
      </font>
    </dxf>
    <dxf>
      <font>
        <color theme="0"/>
      </font>
    </dxf>
    <dxf>
      <font>
        <b/>
        <i val="0"/>
        <color theme="1"/>
      </font>
      <fill>
        <patternFill>
          <bgColor rgb="FFFFFF00"/>
        </patternFill>
      </fill>
    </dxf>
    <dxf>
      <fill>
        <patternFill>
          <bgColor rgb="FFFF0000"/>
        </patternFill>
      </fill>
    </dxf>
    <dxf>
      <fill>
        <patternFill>
          <bgColor rgb="FFFFFF00"/>
        </patternFill>
      </fill>
    </dxf>
    <dxf>
      <fill>
        <patternFill>
          <bgColor rgb="FFFF0000"/>
        </patternFill>
      </fill>
    </dxf>
    <dxf>
      <font>
        <strike/>
      </font>
    </dxf>
    <dxf>
      <font>
        <color theme="0"/>
      </font>
    </dxf>
    <dxf>
      <font>
        <strike/>
      </font>
    </dxf>
    <dxf>
      <fill>
        <patternFill>
          <bgColor rgb="FFFF0000"/>
        </patternFill>
      </fill>
    </dxf>
    <dxf>
      <fill>
        <patternFill>
          <bgColor rgb="FFFFC0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dxf>
    <dxf>
      <font>
        <color theme="0" tint="-0.14996795556505021"/>
      </font>
    </dxf>
    <dxf>
      <fill>
        <patternFill>
          <bgColor rgb="FFFF0000"/>
        </patternFill>
      </fill>
    </dxf>
    <dxf>
      <fill>
        <patternFill>
          <bgColor rgb="FFFF0000"/>
        </patternFill>
      </fill>
    </dxf>
    <dxf>
      <font>
        <color theme="0" tint="-0.14996795556505021"/>
      </font>
    </dxf>
    <dxf>
      <fill>
        <patternFill>
          <bgColor rgb="FFFF0000"/>
        </patternFill>
      </fill>
    </dxf>
    <dxf>
      <fill>
        <patternFill>
          <bgColor rgb="FFFF0000"/>
        </patternFill>
      </fill>
    </dxf>
    <dxf>
      <font>
        <b/>
        <i val="0"/>
        <color rgb="FFFF0000"/>
      </font>
      <fill>
        <patternFill>
          <bgColor theme="5" tint="0.39994506668294322"/>
        </patternFill>
      </fill>
    </dxf>
    <dxf>
      <font>
        <b/>
        <i val="0"/>
        <color rgb="FFFF0000"/>
      </font>
      <fill>
        <patternFill>
          <bgColor theme="5" tint="0.39994506668294322"/>
        </patternFill>
      </fill>
    </dxf>
    <dxf>
      <fill>
        <patternFill>
          <bgColor rgb="FFFF0000"/>
        </patternFill>
      </fill>
    </dxf>
    <dxf>
      <font>
        <b/>
        <i val="0"/>
        <color rgb="FFFF0000"/>
      </font>
      <fill>
        <patternFill>
          <bgColor theme="5" tint="0.39994506668294322"/>
        </patternFill>
      </fill>
    </dxf>
    <dxf>
      <font>
        <b/>
        <i val="0"/>
        <color rgb="FFFF0000"/>
      </font>
      <fill>
        <patternFill>
          <bgColor theme="5" tint="0.39994506668294322"/>
        </patternFill>
      </fill>
    </dxf>
    <dxf>
      <font>
        <color auto="1"/>
      </font>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theme="1"/>
      </font>
      <fill>
        <patternFill>
          <bgColor rgb="FFFFFF00"/>
        </patternFill>
      </fill>
    </dxf>
    <dxf>
      <font>
        <color theme="1"/>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bgColor theme="5" tint="0.39994506668294322"/>
        </patternFill>
      </fill>
    </dxf>
    <dxf>
      <font>
        <b/>
        <i val="0"/>
        <color rgb="FFFF0000"/>
      </font>
      <fill>
        <patternFill>
          <bgColor rgb="FFFFC000"/>
        </patternFill>
      </fill>
    </dxf>
    <dxf>
      <fill>
        <patternFill>
          <bgColor rgb="FFFF0000"/>
        </patternFill>
      </fill>
    </dxf>
    <dxf>
      <font>
        <color theme="1"/>
      </font>
      <fill>
        <patternFill>
          <bgColor rgb="FFFFFF00"/>
        </patternFill>
      </fill>
    </dxf>
    <dxf>
      <font>
        <color theme="1"/>
      </font>
      <fill>
        <patternFill>
          <bgColor rgb="FFFFFF00"/>
        </patternFill>
      </fill>
    </dxf>
    <dxf>
      <fill>
        <patternFill>
          <bgColor rgb="FFFF0000"/>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border>
    </dxf>
    <dxf>
      <fill>
        <patternFill>
          <bgColor rgb="FFFFFF00"/>
        </patternFill>
      </fill>
    </dxf>
    <dxf>
      <font>
        <color theme="1"/>
      </font>
      <fill>
        <patternFill>
          <bgColor rgb="FFFFFF00"/>
        </patternFill>
      </fill>
    </dxf>
    <dxf>
      <fill>
        <patternFill patternType="none">
          <bgColor auto="1"/>
        </patternFill>
      </fill>
    </dxf>
    <dxf>
      <font>
        <color theme="1"/>
      </font>
      <fill>
        <patternFill>
          <bgColor rgb="FFFFFF00"/>
        </patternFill>
      </fill>
    </dxf>
    <dxf>
      <fill>
        <patternFill>
          <bgColor rgb="FFFF0000"/>
        </patternFill>
      </fill>
    </dxf>
    <dxf>
      <fill>
        <patternFill>
          <bgColor rgb="FFFF0000"/>
        </patternFill>
      </fill>
    </dxf>
    <dxf>
      <font>
        <color theme="1"/>
      </font>
      <fill>
        <patternFill>
          <bgColor rgb="FFFFFF00"/>
        </patternFill>
      </fill>
    </dxf>
    <dxf>
      <fill>
        <patternFill>
          <bgColor rgb="FFFF0000"/>
        </patternFill>
      </fill>
    </dxf>
    <dxf>
      <font>
        <color theme="1"/>
      </font>
      <fill>
        <patternFill>
          <bgColor rgb="FFFFFF00"/>
        </patternFill>
      </fill>
    </dxf>
    <dxf>
      <font>
        <color theme="1"/>
      </font>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patternType="none">
          <bgColor auto="1"/>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auto="1"/>
        <name val="Arial"/>
        <family val="2"/>
        <scheme val="none"/>
      </font>
      <numFmt numFmtId="30" formatCode="@"/>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numFmt numFmtId="19" formatCode="dd/mm/yyyy"/>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numFmt numFmtId="0" formatCode="General"/>
      <fill>
        <patternFill patternType="none">
          <fgColor indexed="64"/>
          <bgColor auto="1"/>
        </patternFill>
      </fill>
      <border diagonalUp="0" diagonalDown="0" outline="0">
        <left/>
        <right/>
        <top style="thin">
          <color theme="4" tint="0.39997558519241921"/>
        </top>
        <bottom/>
      </border>
    </dxf>
    <dxf>
      <numFmt numFmtId="0" formatCode="General"/>
      <fill>
        <patternFill patternType="none">
          <fgColor indexed="64"/>
          <bgColor auto="1"/>
        </patternFill>
      </fill>
      <border diagonalUp="0" diagonalDown="0" outline="0">
        <left/>
        <right/>
        <top style="thin">
          <color theme="4" tint="0.39997558519241921"/>
        </top>
        <bottom/>
      </border>
    </dxf>
    <dxf>
      <numFmt numFmtId="35" formatCode="_-* #,##0.00_-;\-* #,##0.00_-;_-* &quot;-&quot;??_-;_-@_-"/>
    </dxf>
    <dxf>
      <numFmt numFmtId="35" formatCode="_-* #,##0.00_-;\-* #,##0.00_-;_-* &quot;-&quot;??_-;_-@_-"/>
      <fill>
        <patternFill patternType="none">
          <fgColor indexed="64"/>
          <bgColor auto="1"/>
        </patternFill>
      </fill>
      <border diagonalUp="0" diagonalDown="0" outline="0">
        <left/>
        <right/>
        <top style="thin">
          <color theme="4" tint="0.39997558519241921"/>
        </top>
        <bottom/>
      </border>
    </dxf>
    <dxf>
      <numFmt numFmtId="166" formatCode="_-* #,##0_-;\-* #,##0_-;_-* &quot;-&quot;??_-;_-@_-"/>
      <fill>
        <patternFill patternType="none">
          <fgColor indexed="64"/>
          <bgColor auto="1"/>
        </patternFill>
      </fill>
      <border diagonalUp="0" diagonalDown="0" outline="0">
        <left/>
        <right/>
        <top style="thin">
          <color theme="4" tint="0.39997558519241921"/>
        </top>
        <bottom/>
      </border>
    </dxf>
    <dxf>
      <numFmt numFmtId="166" formatCode="_-* #,##0_-;\-* #,##0_-;_-* &quot;-&quot;??_-;_-@_-"/>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numFmt numFmtId="166" formatCode="_-* #,##0_-;\-* #,##0_-;_-* &quot;-&quot;??_-;_-@_-"/>
      <fill>
        <patternFill patternType="none">
          <fgColor indexed="64"/>
          <bgColor auto="1"/>
        </patternFill>
      </fill>
      <border diagonalUp="0" diagonalDown="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35" formatCode="_-* #,##0.00_-;\-* #,##0.00_-;_-* &quot;-&quot;??_-;_-@_-"/>
      <fill>
        <patternFill patternType="none">
          <fgColor indexed="64"/>
          <bgColor auto="1"/>
        </patternFill>
      </fill>
      <border diagonalUp="0" diagonalDown="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FF00"/>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numFmt numFmtId="35" formatCode="_-* #,##0.00_-;\-* #,##0.00_-;_-* &quot;-&quot;??_-;_-@_-"/>
      <fill>
        <patternFill patternType="none">
          <fgColor indexed="64"/>
          <bgColor auto="1"/>
        </patternFill>
      </fill>
      <border diagonalUp="0" diagonalDown="0">
        <left/>
        <right/>
        <top style="thin">
          <color theme="4" tint="0.39997558519241921"/>
        </top>
        <bottom/>
      </border>
    </dxf>
    <dxf>
      <numFmt numFmtId="35" formatCode="_-* #,##0.00_-;\-* #,##0.00_-;_-* &quot;-&quot;??_-;_-@_-"/>
      <fill>
        <patternFill patternType="none">
          <fgColor indexed="64"/>
          <bgColor auto="1"/>
        </patternFill>
      </fill>
      <border diagonalUp="0" diagonalDown="0">
        <left/>
        <right/>
        <top style="thin">
          <color theme="4" tint="0.39997558519241921"/>
        </top>
        <bottom/>
      </border>
    </dxf>
    <dxf>
      <numFmt numFmtId="0" formatCode="General"/>
      <fill>
        <patternFill patternType="none">
          <fgColor indexed="64"/>
          <bgColor auto="1"/>
        </patternFill>
      </fill>
      <border diagonalUp="0" diagonalDown="0" outline="0">
        <left/>
        <right/>
        <top style="thin">
          <color theme="4" tint="0.39997558519241921"/>
        </top>
        <bottom/>
      </border>
    </dxf>
    <dxf>
      <numFmt numFmtId="0" formatCode="General"/>
      <fill>
        <patternFill patternType="none">
          <fgColor indexed="64"/>
          <bgColor auto="1"/>
        </patternFill>
      </fill>
      <border diagonalUp="0" diagonalDown="0" outline="0">
        <left/>
        <right/>
        <top style="thin">
          <color theme="4" tint="0.39997558519241921"/>
        </top>
        <bottom/>
      </border>
    </dxf>
    <dxf>
      <numFmt numFmtId="0" formatCode="General"/>
      <fill>
        <patternFill patternType="none">
          <fgColor indexed="64"/>
          <bgColor auto="1"/>
        </patternFill>
      </fill>
      <border diagonalUp="0" diagonalDown="0" outline="0">
        <left/>
        <right/>
        <top style="thin">
          <color theme="4" tint="0.39997558519241921"/>
        </top>
        <bottom/>
      </border>
    </dxf>
    <dxf>
      <numFmt numFmtId="35" formatCode="_-* #,##0.00_-;\-* #,##0.00_-;_-* &quot;-&quot;??_-;_-@_-"/>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auto="1"/>
        </patternFill>
      </fill>
      <border diagonalUp="0" diagonalDown="0">
        <left/>
        <right/>
        <top style="thin">
          <color theme="4" tint="0.39997558519241921"/>
        </top>
        <bottom/>
      </border>
    </dxf>
    <dxf>
      <numFmt numFmtId="35" formatCode="_-* #,##0.00_-;\-* #,##0.00_-;_-* &quot;-&quot;??_-;_-@_-"/>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numFmt numFmtId="35" formatCode="_-* #,##0.00_-;\-* #,##0.00_-;_-* &quot;-&quot;??_-;_-@_-"/>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numFmt numFmtId="35" formatCode="_-* #,##0.00_-;\-* #,##0.00_-;_-* &quot;-&quot;??_-;_-@_-"/>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numFmt numFmtId="35" formatCode="_-* #,##0.00_-;\-* #,##0.00_-;_-* &quot;-&quot;??_-;_-@_-"/>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dxf>
    <dxf>
      <numFmt numFmtId="0" formatCode="General"/>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dxf>
    <dxf>
      <font>
        <b/>
        <i val="0"/>
        <strike val="0"/>
        <condense val="0"/>
        <extend val="0"/>
        <outline val="0"/>
        <shadow val="0"/>
        <u val="none"/>
        <vertAlign val="baseline"/>
        <sz val="11"/>
        <color theme="0"/>
        <name val="Calibri"/>
        <family val="2"/>
        <charset val="238"/>
        <scheme val="minor"/>
      </font>
      <fill>
        <patternFill patternType="solid">
          <fgColor theme="4"/>
          <bgColor theme="4"/>
        </patternFill>
      </fill>
    </dxf>
    <dxf>
      <font>
        <b val="0"/>
        <i val="0"/>
        <strike val="0"/>
        <condense val="0"/>
        <extend val="0"/>
        <outline val="0"/>
        <shadow val="0"/>
        <u val="none"/>
        <vertAlign val="baseline"/>
        <sz val="10"/>
        <color auto="1"/>
        <name val="Calibri"/>
        <family val="2"/>
        <scheme val="minor"/>
      </font>
      <numFmt numFmtId="35" formatCode="_-* #,##0.00_-;\-* #,##0.00_-;_-* &quot;-&quot;??_-;_-@_-"/>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0" formatCode="General"/>
    </dxf>
    <dxf>
      <font>
        <b val="0"/>
        <i val="0"/>
        <strike val="0"/>
        <condense val="0"/>
        <extend val="0"/>
        <outline val="0"/>
        <shadow val="0"/>
        <u val="none"/>
        <vertAlign val="baseline"/>
        <sz val="10"/>
        <color auto="1"/>
        <name val="Calibri"/>
        <family val="2"/>
        <scheme val="minor"/>
      </font>
      <numFmt numFmtId="1" formatCode="0"/>
      <fill>
        <patternFill patternType="solid">
          <fgColor indexed="64"/>
          <bgColor rgb="FFFFFF0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rgb="FFFFFF0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dxf>
  </dxfs>
  <tableStyles count="0" defaultTableStyle="TableStyleMedium2" defaultPivotStyle="PivotStyleLight16"/>
  <colors>
    <mruColors>
      <color rgb="FFFF3399"/>
      <color rgb="FF66FF33"/>
      <color rgb="FF00AFE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0</xdr:row>
      <xdr:rowOff>95249</xdr:rowOff>
    </xdr:from>
    <xdr:to>
      <xdr:col>4</xdr:col>
      <xdr:colOff>633048</xdr:colOff>
      <xdr:row>4</xdr:row>
      <xdr:rowOff>57150</xdr:rowOff>
    </xdr:to>
    <xdr:pic>
      <xdr:nvPicPr>
        <xdr:cNvPr id="4" name="Grafik 3">
          <a:extLst>
            <a:ext uri="{FF2B5EF4-FFF2-40B4-BE49-F238E27FC236}">
              <a16:creationId xmlns:a16="http://schemas.microsoft.com/office/drawing/2014/main" id="{B952C8FC-F863-F8C1-6248-E6EF606C43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95249"/>
          <a:ext cx="2280873" cy="952501"/>
        </a:xfrm>
        <a:prstGeom prst="rect">
          <a:avLst/>
        </a:prstGeom>
        <a:noFill/>
      </xdr:spPr>
    </xdr:pic>
    <xdr:clientData/>
  </xdr:twoCellAnchor>
  <xdr:twoCellAnchor editAs="oneCell">
    <xdr:from>
      <xdr:col>7</xdr:col>
      <xdr:colOff>923924</xdr:colOff>
      <xdr:row>1</xdr:row>
      <xdr:rowOff>47625</xdr:rowOff>
    </xdr:from>
    <xdr:to>
      <xdr:col>10</xdr:col>
      <xdr:colOff>367799</xdr:colOff>
      <xdr:row>3</xdr:row>
      <xdr:rowOff>133350</xdr:rowOff>
    </xdr:to>
    <xdr:pic>
      <xdr:nvPicPr>
        <xdr:cNvPr id="5" name="Grafik 4" descr="Ein Bild, das Schrift, Screenshot, Grafiken, Text enthält.&#10;&#10;Automatisch generierte Beschreibung">
          <a:extLst>
            <a:ext uri="{FF2B5EF4-FFF2-40B4-BE49-F238E27FC236}">
              <a16:creationId xmlns:a16="http://schemas.microsoft.com/office/drawing/2014/main" id="{E3000158-E34B-BBFA-031F-CCE463D2F56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0800" b="20800"/>
        <a:stretch/>
      </xdr:blipFill>
      <xdr:spPr bwMode="auto">
        <a:xfrm>
          <a:off x="6953249" y="238125"/>
          <a:ext cx="3196725" cy="6953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19051</xdr:colOff>
      <xdr:row>61</xdr:row>
      <xdr:rowOff>52388</xdr:rowOff>
    </xdr:from>
    <xdr:to>
      <xdr:col>12</xdr:col>
      <xdr:colOff>259909</xdr:colOff>
      <xdr:row>68</xdr:row>
      <xdr:rowOff>134655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467476" y="11777663"/>
          <a:ext cx="993333" cy="996667"/>
        </a:xfrm>
        <a:prstGeom prst="rect">
          <a:avLst/>
        </a:prstGeom>
      </xdr:spPr>
    </xdr:pic>
    <xdr:clientData/>
  </xdr:twoCellAnchor>
  <xdr:twoCellAnchor editAs="oneCell">
    <xdr:from>
      <xdr:col>0</xdr:col>
      <xdr:colOff>104775</xdr:colOff>
      <xdr:row>0</xdr:row>
      <xdr:rowOff>38100</xdr:rowOff>
    </xdr:from>
    <xdr:to>
      <xdr:col>4</xdr:col>
      <xdr:colOff>309198</xdr:colOff>
      <xdr:row>2</xdr:row>
      <xdr:rowOff>57151</xdr:rowOff>
    </xdr:to>
    <xdr:pic>
      <xdr:nvPicPr>
        <xdr:cNvPr id="2" name="Grafik 1">
          <a:extLst>
            <a:ext uri="{FF2B5EF4-FFF2-40B4-BE49-F238E27FC236}">
              <a16:creationId xmlns:a16="http://schemas.microsoft.com/office/drawing/2014/main" id="{5D3135C5-F004-4385-8A1D-EE4F204DD64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38100"/>
          <a:ext cx="2280873" cy="952501"/>
        </a:xfrm>
        <a:prstGeom prst="rect">
          <a:avLst/>
        </a:prstGeom>
        <a:noFill/>
      </xdr:spPr>
    </xdr:pic>
    <xdr:clientData/>
  </xdr:twoCellAnchor>
  <xdr:twoCellAnchor editAs="oneCell">
    <xdr:from>
      <xdr:col>9</xdr:col>
      <xdr:colOff>266699</xdr:colOff>
      <xdr:row>1</xdr:row>
      <xdr:rowOff>95251</xdr:rowOff>
    </xdr:from>
    <xdr:to>
      <xdr:col>16</xdr:col>
      <xdr:colOff>339224</xdr:colOff>
      <xdr:row>1</xdr:row>
      <xdr:rowOff>790576</xdr:rowOff>
    </xdr:to>
    <xdr:pic>
      <xdr:nvPicPr>
        <xdr:cNvPr id="6" name="Grafik 5" descr="Ein Bild, das Schrift, Screenshot, Grafiken, Text enthält.&#10;&#10;Automatisch generierte Beschreibung">
          <a:extLst>
            <a:ext uri="{FF2B5EF4-FFF2-40B4-BE49-F238E27FC236}">
              <a16:creationId xmlns:a16="http://schemas.microsoft.com/office/drawing/2014/main" id="{A43A8DF9-DB06-46EE-90CC-E4C0754D482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0800" b="20800"/>
        <a:stretch/>
      </xdr:blipFill>
      <xdr:spPr bwMode="auto">
        <a:xfrm>
          <a:off x="5505449" y="180976"/>
          <a:ext cx="3196725" cy="6953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161925</xdr:colOff>
      <xdr:row>0</xdr:row>
      <xdr:rowOff>85725</xdr:rowOff>
    </xdr:from>
    <xdr:to>
      <xdr:col>3</xdr:col>
      <xdr:colOff>775923</xdr:colOff>
      <xdr:row>4</xdr:row>
      <xdr:rowOff>57151</xdr:rowOff>
    </xdr:to>
    <xdr:pic>
      <xdr:nvPicPr>
        <xdr:cNvPr id="2" name="Grafik 1">
          <a:extLst>
            <a:ext uri="{FF2B5EF4-FFF2-40B4-BE49-F238E27FC236}">
              <a16:creationId xmlns:a16="http://schemas.microsoft.com/office/drawing/2014/main" id="{5F7E3162-CAB2-48D7-85BD-98B37566B91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000"/>
        <a:stretch/>
      </xdr:blipFill>
      <xdr:spPr bwMode="auto">
        <a:xfrm>
          <a:off x="390525" y="85725"/>
          <a:ext cx="2280873" cy="771526"/>
        </a:xfrm>
        <a:prstGeom prst="rect">
          <a:avLst/>
        </a:prstGeom>
        <a:noFill/>
      </xdr:spPr>
    </xdr:pic>
    <xdr:clientData/>
  </xdr:twoCellAnchor>
  <xdr:twoCellAnchor editAs="oneCell">
    <xdr:from>
      <xdr:col>24</xdr:col>
      <xdr:colOff>200024</xdr:colOff>
      <xdr:row>0</xdr:row>
      <xdr:rowOff>47626</xdr:rowOff>
    </xdr:from>
    <xdr:to>
      <xdr:col>30</xdr:col>
      <xdr:colOff>15374</xdr:colOff>
      <xdr:row>3</xdr:row>
      <xdr:rowOff>142876</xdr:rowOff>
    </xdr:to>
    <xdr:pic>
      <xdr:nvPicPr>
        <xdr:cNvPr id="3" name="Grafik 2" descr="Ein Bild, das Schrift, Screenshot, Grafiken, Text enthält.&#10;&#10;Automatisch generierte Beschreibung">
          <a:extLst>
            <a:ext uri="{FF2B5EF4-FFF2-40B4-BE49-F238E27FC236}">
              <a16:creationId xmlns:a16="http://schemas.microsoft.com/office/drawing/2014/main" id="{053A5958-CDB3-4B9C-AE58-87E3CDBE350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0800" b="20800"/>
        <a:stretch/>
      </xdr:blipFill>
      <xdr:spPr bwMode="auto">
        <a:xfrm>
          <a:off x="6791324" y="47626"/>
          <a:ext cx="3196725" cy="6953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323850</xdr:colOff>
      <xdr:row>60</xdr:row>
      <xdr:rowOff>119063</xdr:rowOff>
    </xdr:from>
    <xdr:to>
      <xdr:col>11</xdr:col>
      <xdr:colOff>98705</xdr:colOff>
      <xdr:row>65</xdr:row>
      <xdr:rowOff>155934</xdr:rowOff>
    </xdr:to>
    <xdr:pic>
      <xdr:nvPicPr>
        <xdr:cNvPr id="4" name="Grafik 3">
          <a:extLst>
            <a:ext uri="{FF2B5EF4-FFF2-40B4-BE49-F238E27FC236}">
              <a16:creationId xmlns:a16="http://schemas.microsoft.com/office/drawing/2014/main" id="{5584669C-FB6D-4AEF-BB7D-ECD94DB7B0F9}"/>
            </a:ext>
          </a:extLst>
        </xdr:cNvPr>
        <xdr:cNvPicPr>
          <a:picLocks noChangeAspect="1"/>
        </xdr:cNvPicPr>
      </xdr:nvPicPr>
      <xdr:blipFill>
        <a:blip xmlns:r="http://schemas.openxmlformats.org/officeDocument/2006/relationships" r:embed="rId1"/>
        <a:stretch>
          <a:fillRect/>
        </a:stretch>
      </xdr:blipFill>
      <xdr:spPr>
        <a:xfrm>
          <a:off x="5400675" y="9996488"/>
          <a:ext cx="1003580" cy="1017945"/>
        </a:xfrm>
        <a:prstGeom prst="rect">
          <a:avLst/>
        </a:prstGeom>
      </xdr:spPr>
    </xdr:pic>
    <xdr:clientData/>
  </xdr:twoCellAnchor>
  <xdr:twoCellAnchor editAs="oneCell">
    <xdr:from>
      <xdr:col>0</xdr:col>
      <xdr:colOff>28292</xdr:colOff>
      <xdr:row>0</xdr:row>
      <xdr:rowOff>0</xdr:rowOff>
    </xdr:from>
    <xdr:to>
      <xdr:col>3</xdr:col>
      <xdr:colOff>64660</xdr:colOff>
      <xdr:row>1</xdr:row>
      <xdr:rowOff>103739</xdr:rowOff>
    </xdr:to>
    <xdr:pic>
      <xdr:nvPicPr>
        <xdr:cNvPr id="5" name="Grafik 4">
          <a:extLst>
            <a:ext uri="{FF2B5EF4-FFF2-40B4-BE49-F238E27FC236}">
              <a16:creationId xmlns:a16="http://schemas.microsoft.com/office/drawing/2014/main" id="{EA6BD3C2-F9B5-484C-B06F-D92D925F84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92" y="0"/>
          <a:ext cx="2280873" cy="952501"/>
        </a:xfrm>
        <a:prstGeom prst="rect">
          <a:avLst/>
        </a:prstGeom>
        <a:noFill/>
      </xdr:spPr>
    </xdr:pic>
    <xdr:clientData/>
  </xdr:twoCellAnchor>
  <xdr:twoCellAnchor editAs="oneCell">
    <xdr:from>
      <xdr:col>5</xdr:col>
      <xdr:colOff>582062</xdr:colOff>
      <xdr:row>0</xdr:row>
      <xdr:rowOff>114584</xdr:rowOff>
    </xdr:from>
    <xdr:to>
      <xdr:col>19</xdr:col>
      <xdr:colOff>383737</xdr:colOff>
      <xdr:row>0</xdr:row>
      <xdr:rowOff>809909</xdr:rowOff>
    </xdr:to>
    <xdr:pic>
      <xdr:nvPicPr>
        <xdr:cNvPr id="6" name="Grafik 5" descr="Ein Bild, das Schrift, Screenshot, Grafiken, Text enthält.&#10;&#10;Automatisch generierte Beschreibung">
          <a:extLst>
            <a:ext uri="{FF2B5EF4-FFF2-40B4-BE49-F238E27FC236}">
              <a16:creationId xmlns:a16="http://schemas.microsoft.com/office/drawing/2014/main" id="{1F113150-D139-4CDE-996E-4FBBB05A126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0800" b="20800"/>
        <a:stretch/>
      </xdr:blipFill>
      <xdr:spPr bwMode="auto">
        <a:xfrm>
          <a:off x="4175156" y="114584"/>
          <a:ext cx="3196725" cy="695325"/>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Harringer, Elmar" id="{0E579659-B63F-4481-9439-56D1C1C6EDCE}" userId="S::Elmar.Harringer@oead.at::f8a25219-c1d3-429b-b4aa-8212b0fe30bb"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4DA314-6E0D-42E1-AEB8-64135410DA75}" name="BIPs_NEU" displayName="BIPs_NEU" ref="B6:E27" totalsRowCount="1" headerRowDxfId="255" dataDxfId="254">
  <autoFilter ref="B6:E26" xr:uid="{F74DA314-6E0D-42E1-AEB8-64135410DA75}"/>
  <tableColumns count="4">
    <tableColumn id="1" xr3:uid="{EA2BEE6D-5452-466A-9E66-704FA31E7E49}" name="Titel" totalsRowFunction="custom" dataDxfId="253" totalsRowDxfId="252">
      <calculatedColumnFormula>IF(ISBLANK(BIPs_NEU[[#This Row],[Anzahl Personen]]),"","Hier muss ein Name für das BIP angegeben werden!")</calculatedColumnFormula>
      <totalsRowFormula>"Anzahl zusätzlich beantragter BIPs: "&amp;SUBTOTAL(102,BIPs_NEU[Anzahl Personen])</totalsRowFormula>
    </tableColumn>
    <tableColumn id="4" xr3:uid="{C5E10A24-900A-4651-9A24-5F3261F584C9}" name="Spalte1" totalsRowFunction="countNums" dataDxfId="251" totalsRowDxfId="250">
      <calculatedColumnFormula>IF(BIPs_NEU[[#This Row],[Anzahl Personen]]="","",BIPs_NEU[[#This Row],[Anzahl Personen]])</calculatedColumnFormula>
    </tableColumn>
    <tableColumn id="2" xr3:uid="{9EE36813-A485-42EA-9A1C-1B2809C0FC89}" name="Anzahl Personen" totalsRowFunction="sum" dataDxfId="249" totalsRowDxfId="248"/>
    <tableColumn id="3" xr3:uid="{3F6077D7-62A6-4551-B7DE-FFC58A49D990}" name="Beantragter Betrag" totalsRowFunction="sum" dataDxfId="247" totalsRowDxfId="246" dataCellStyle="Komma">
      <calculatedColumnFormula>IF(AND(BIPs_NEU[[#This Row],[Anzahl Personen]]&gt;=15,BIPs_NEU[[#This Row],[Anzahl Personen]]&lt;=20),BIPs_NEU[[#This Row],[Anzahl Personen]]*400,IF(BIPs_NEU[[#This Row],[Anzahl Personen]]&gt;20,8000,0))</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B180D31-DFFC-46C6-B8F0-4B922BA485D3}" name="OS_Betraege" displayName="OS_Betraege" ref="Q2:R6" totalsRowShown="0" headerRowDxfId="120">
  <autoFilter ref="Q2:R6" xr:uid="{EB180D31-DFFC-46C6-B8F0-4B922BA485D3}"/>
  <tableColumns count="2">
    <tableColumn id="1" xr3:uid="{D5D405C1-093A-4DD8-A484-D964DE2C57A2}" name="OS Typ" dataDxfId="119"/>
    <tableColumn id="2" xr3:uid="{9F43A06C-5C31-42BB-B09F-FFEFFE885989}" name="Betrag"/>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3DB254-17B4-4873-AE47-9C36A4985289}" name="Versionsnummer" displayName="Versionsnummer" ref="T2:U8" totalsRowShown="0" headerRowDxfId="118">
  <autoFilter ref="T2:U8" xr:uid="{1D3DB254-17B4-4873-AE47-9C36A4985289}"/>
  <tableColumns count="2">
    <tableColumn id="1" xr3:uid="{111CF943-70F8-4D06-8B10-F1ED53E0B788}" name="Version"/>
    <tableColumn id="2" xr3:uid="{5ED747F5-E78F-4291-8DFA-8B09E18C3671}" name="#" dataDxfId="11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8D937AE-21E3-4D97-BD54-3FC590460025}" name="Daten" displayName="Daten" ref="A1:CF80" totalsRowCount="1" headerRowDxfId="245" dataDxfId="244" headerRowCellStyle="Komma" dataCellStyle="Standard 2">
  <autoFilter ref="A1:CF79" xr:uid="{00000000-0009-0000-0000-000003000000}"/>
  <sortState xmlns:xlrd2="http://schemas.microsoft.com/office/spreadsheetml/2017/richdata2" ref="A2:BQ78">
    <sortCondition ref="A1:A78"/>
  </sortState>
  <tableColumns count="84">
    <tableColumn id="1" xr3:uid="{D8FEFD39-CF48-4B80-AC11-A4A408E437A1}" name="Erasmus Code" totalsRowLabel="Ergebnis" dataDxfId="243" dataCellStyle="Standard 2"/>
    <tableColumn id="2" xr3:uid="{24698B39-B9D6-4E67-B870-1E28751701B1}" name="InstName" dataDxfId="242" dataCellStyle="Standard 2"/>
    <tableColumn id="24" xr3:uid="{93EFC458-716E-45B2-82BA-B40916AC2CD6}" name="OID" dataDxfId="241" totalsRowDxfId="240" dataCellStyle="Standard 2"/>
    <tableColumn id="3" xr3:uid="{1577840D-CF91-4424-9E9C-56E812018CCE}" name="ProjectCode" dataDxfId="239" dataCellStyle="Standard 2"/>
    <tableColumn id="49" xr3:uid="{B04C58E9-E073-47EC-AB6E-654FF330C9F4}" name="GZ" dataDxfId="238" totalsRowDxfId="237" dataCellStyle="Standard 2"/>
    <tableColumn id="38" xr3:uid="{2066281A-6493-42BD-9AAC-71F97135FBF3}" name="Legal Representative" dataDxfId="236" totalsRowDxfId="235" dataCellStyle="Standard 2"/>
    <tableColumn id="37" xr3:uid="{FE801354-8041-4BD6-AC72-52AE5EEB53D0}" name="Legal Representative Email" dataDxfId="234" totalsRowDxfId="233" dataCellStyle="Standard 2"/>
    <tableColumn id="31" xr3:uid="{D73C9801-6C10-4B81-82D6-4C0210B9641E}" name="Legal Representative2" dataDxfId="232" totalsRowDxfId="231" dataCellStyle="Standard 2"/>
    <tableColumn id="25" xr3:uid="{C050CEF5-4FD2-47BA-BCFE-704679D35754}" name="Legal Representative Email2" dataDxfId="230" totalsRowDxfId="229" dataCellStyle="Standard 2"/>
    <tableColumn id="4" xr3:uid="{1747BA65-712D-447A-897E-3FE5C3218292}" name="SMS_Mob" totalsRowFunction="sum" dataDxfId="228" dataCellStyle="Standard 2"/>
    <tableColumn id="5" xr3:uid="{291C86A7-2DD8-4626-895E-58062EAA2585}" name="SMS_t" dataDxfId="227" dataCellStyle="Standard 2"/>
    <tableColumn id="6" xr3:uid="{005EA082-5A1B-49BC-AD78-8F8AB33A340A}" name="SMS_EUR" dataDxfId="226" dataCellStyle="Standard 2"/>
    <tableColumn id="7" xr3:uid="{B9D95DFC-B042-4B81-9C9E-57CFF4A011B1}" name="SMT_Mob" totalsRowFunction="sum" dataDxfId="225" dataCellStyle="Standard 2"/>
    <tableColumn id="8" xr3:uid="{5AEC1FF1-217A-4AF6-8C90-4F2D89552E81}" name="SMT_t" dataDxfId="224" dataCellStyle="Standard 2"/>
    <tableColumn id="9" xr3:uid="{CFBD0B58-B15B-4859-BA09-2AE310107F4B}" name="SMT_EUR" dataDxfId="223" dataCellStyle="Standard 2"/>
    <tableColumn id="10" xr3:uid="{A0668292-5EF2-4D2E-A84F-D4FA89F90E5A}" name="STA_Mob" totalsRowFunction="sum" dataDxfId="222" dataCellStyle="Standard 2"/>
    <tableColumn id="11" xr3:uid="{944ACE42-7763-46B8-B7D0-FA6B22F7FF9F}" name="STA_t" dataDxfId="221" dataCellStyle="Standard 2"/>
    <tableColumn id="12" xr3:uid="{B3389B5A-C38F-4A7F-9887-6C8A1BD7EF8F}" name="STA_EUR" dataDxfId="220" dataCellStyle="Standard 2"/>
    <tableColumn id="13" xr3:uid="{16C20F7E-DF11-4B8D-AA2F-759BE0ACA634}" name="STT_Mob" totalsRowFunction="sum" dataDxfId="219" dataCellStyle="Standard 2"/>
    <tableColumn id="14" xr3:uid="{EFC93524-43D6-46E8-AA4A-44490B21C454}" name="STT_t" dataDxfId="218" dataCellStyle="Standard 2"/>
    <tableColumn id="15" xr3:uid="{33209F8C-C883-4E77-8FEC-4D92A06DC3C4}" name="STT_EUR" dataDxfId="217" dataCellStyle="Standard 2"/>
    <tableColumn id="48" xr3:uid="{F53CE73F-5D36-49BB-8C06-86F6F541F634}" name="BIP_15_ANZ" dataDxfId="216" totalsRowDxfId="215" dataCellStyle="Standard 2"/>
    <tableColumn id="47" xr3:uid="{71250689-451D-4870-AE99-92221A4441FA}" name="BIP_15_EUR" dataDxfId="214" totalsRowDxfId="213" dataCellStyle="Standard 2"/>
    <tableColumn id="46" xr3:uid="{E90EB2E6-342C-4B96-8852-48F226FE222D}" name="BIP_16_ANZ" dataDxfId="212" totalsRowDxfId="211" dataCellStyle="Standard 2"/>
    <tableColumn id="45" xr3:uid="{E7D0F0F8-4819-4D50-8064-18163D849281}" name="BIP_16_EUR" dataDxfId="210" totalsRowDxfId="209" dataCellStyle="Standard 2"/>
    <tableColumn id="44" xr3:uid="{17EC8AA4-94B4-48CB-B9A1-4959B7545CE9}" name="BIP_17_ANZ" dataDxfId="208" totalsRowDxfId="207" dataCellStyle="Standard 2"/>
    <tableColumn id="43" xr3:uid="{0B479B59-B2F9-4056-80CE-EA910A192FE7}" name="BIP_17_EUR" dataDxfId="206" totalsRowDxfId="205" dataCellStyle="Standard 2"/>
    <tableColumn id="42" xr3:uid="{3308E848-EDA3-486D-A032-2380FD376774}" name="BIP_18_ANZ" dataDxfId="204" totalsRowDxfId="203" dataCellStyle="Standard 2"/>
    <tableColumn id="41" xr3:uid="{D6F30F31-B19D-40FA-B8D6-780220FD6CBA}" name="BIP_18_EUR" dataDxfId="202" totalsRowDxfId="201" dataCellStyle="Standard 2"/>
    <tableColumn id="40" xr3:uid="{FE5ABCF3-4797-4EF1-B8CE-EBEBC23B49F9}" name="BIP_19_ANZ" dataDxfId="200" totalsRowDxfId="199" dataCellStyle="Standard 2"/>
    <tableColumn id="39" xr3:uid="{D5199D07-752A-40DA-845D-304E68333FB7}" name="BIP_19_EUR" dataDxfId="198" totalsRowDxfId="197" dataCellStyle="Standard 2"/>
    <tableColumn id="78" xr3:uid="{5DAD1B2F-B84D-41ED-A0BF-199E1669DA17}" name="BIP_20_plus_ANZ" dataDxfId="196" totalsRowDxfId="195" dataCellStyle="Standard 2"/>
    <tableColumn id="77" xr3:uid="{7BC92805-C293-4C62-94AE-6533DB70625D}" name="BIP_20_plus_EUR" dataDxfId="194" totalsRowDxfId="193" dataCellStyle="Standard 2"/>
    <tableColumn id="80" xr3:uid="{0CBF6D17-E35C-4E5A-AC7A-EB4BABBF2238}" name="BIP_Mob" dataDxfId="192" totalsRowDxfId="191" dataCellStyle="Standard 2"/>
    <tableColumn id="79" xr3:uid="{4327F448-A61C-4580-A768-8349B359F332}" name="BIP_EUR" totalsRowFunction="sum" dataDxfId="190" totalsRowDxfId="189" dataCellStyle="Standard 2"/>
    <tableColumn id="55" xr3:uid="{4ADD026F-6607-45E8-8393-6D79CD4D5889}" name="IncS_Part_Mob" dataDxfId="188" totalsRowDxfId="187" dataCellStyle="Standard 2"/>
    <tableColumn id="54" xr3:uid="{E3038F6F-13CD-4EF4-8E51-8C9CE3A3984C}" name="IncS_Part_EUR" dataDxfId="186" totalsRowDxfId="185" dataCellStyle="Standard 2"/>
    <tableColumn id="51" xr3:uid="{861FAFFC-D253-4ACE-B58F-C181104CD0E8}" name="IncS_HEI_Mob" dataDxfId="184" totalsRowDxfId="183" dataCellStyle="Standard 2"/>
    <tableColumn id="50" xr3:uid="{D881EC62-A098-468B-8F8F-40F6CB3271AA}" name="IncS_HEI_EUR" dataDxfId="182" totalsRowDxfId="181" dataCellStyle="Standard 2"/>
    <tableColumn id="57" xr3:uid="{D7F3E49B-99A9-4F05-AB7E-A5D90CE18991}" name="Except_Costs_EUR" dataDxfId="180" totalsRowDxfId="179" dataCellStyle="Standard 2"/>
    <tableColumn id="18" xr3:uid="{6F518BF8-FD9D-43A8-A9E6-702102054028}" name="OS_Mob" dataDxfId="178" dataCellStyle="Standard 2"/>
    <tableColumn id="19" xr3:uid="{43EA3F01-C509-4DA8-88C6-D78A93E394A2}" name="OS_EUR" totalsRowFunction="sum" dataDxfId="177" totalsRowDxfId="176" dataCellStyle="Standard 2"/>
    <tableColumn id="20" xr3:uid="{F65F3C19-D713-4535-8248-712BC75E176A}" name="TOTAL_GRANT" totalsRowFunction="sum" dataDxfId="175" totalsRowDxfId="174" dataCellStyle="Komma"/>
    <tableColumn id="86" xr3:uid="{EC5694FC-A02B-4AB3-BF6C-8619B4F2F7D4}" name="GA issued" dataDxfId="173" totalsRowDxfId="172" dataCellStyle="Komma"/>
    <tableColumn id="85" xr3:uid="{45AD5E78-16C6-4069-ADB8-587B0BB67930}" name="Amendment#" dataDxfId="171" totalsRowDxfId="170" dataCellStyle="Komma"/>
    <tableColumn id="16" xr3:uid="{C3BC9924-57C9-4360-A413-3FD5E2A0311D}" name="Kontrolle EURO GA1" dataDxfId="169" dataCellStyle="Standard 2"/>
    <tableColumn id="17" xr3:uid="{B28271D3-FA3F-4CB5-A8A5-CBE525414856}" name="Diff22" dataDxfId="168" dataCellStyle="Standard 2"/>
    <tableColumn id="26" xr3:uid="{C2F5E8D2-2DE3-433B-A9FD-B6C4BE47FAA8}" name="Auszahlung" dataDxfId="167" dataCellStyle="Standard 2"/>
    <tableColumn id="21" xr3:uid="{2496485D-7297-444D-8934-37953B085647}" name="Kontrolle Summe Zahlungen &lt;&gt; Vertrag" dataDxfId="166" dataCellStyle="Standard 2"/>
    <tableColumn id="22" xr3:uid="{239D24A6-FE7E-432B-8EE1-1507BE4F021F}" name="Summe Zahlungen " dataDxfId="165" dataCellStyle="Standard 2"/>
    <tableColumn id="29" xr3:uid="{C1F23DBF-FC69-48AF-AAF6-E8449AE0A069}" name="PP1" dataDxfId="164" dataCellStyle="Komma"/>
    <tableColumn id="28" xr3:uid="{8E5231F2-AED8-4573-99BB-8A2BA689A0C1}" name="PP1_e" dataDxfId="163" dataCellStyle="Komma"/>
    <tableColumn id="30" xr3:uid="{34E7E186-22EB-4929-B118-92FE1720E894}" name="PP2" dataDxfId="162" dataCellStyle="Komma"/>
    <tableColumn id="66" xr3:uid="{EFCD6A18-2E84-4989-9F90-BA8C4B768A8F}" name="PP2_e" dataDxfId="161" dataCellStyle="Komma"/>
    <tableColumn id="65" xr3:uid="{553708CB-8A5D-4CBA-A3CF-F6E3A255D9EF}" name="PP3" dataDxfId="160" dataCellStyle="Komma"/>
    <tableColumn id="64" xr3:uid="{45D5A19B-3191-4F45-861D-5D8389917471}" name="PP3_e" dataDxfId="159" dataCellStyle="Komma"/>
    <tableColumn id="63" xr3:uid="{775594D2-C244-4B97-95C8-341865449FB4}" name="PP4" dataDxfId="158" dataCellStyle="Komma"/>
    <tableColumn id="62" xr3:uid="{F95B0513-5B10-46FD-844C-F1A2C39BECCD}" name="PP4_e" dataDxfId="157" dataCellStyle="Komma"/>
    <tableColumn id="61" xr3:uid="{03183ED3-C485-4845-8697-A9F8E32CBB0B}" name="PP5" dataDxfId="156" dataCellStyle="Komma"/>
    <tableColumn id="60" xr3:uid="{481545E5-1E2F-4E63-A847-FF45F94584FF}" name="PP5_e" dataDxfId="155" dataCellStyle="Komma"/>
    <tableColumn id="59" xr3:uid="{76C7F1C4-639C-4D22-B92D-B2202B1B8C61}" name="PP6" dataDxfId="154" dataCellStyle="Komma"/>
    <tableColumn id="58" xr3:uid="{F226A7BA-53FE-4FC8-9681-1E74666404F7}" name="PP6_e" dataDxfId="153" dataCellStyle="Komma"/>
    <tableColumn id="56" xr3:uid="{439B95A9-2CA2-40DC-9B31-49856E399725}" name="PP7" dataDxfId="152" dataCellStyle="Komma"/>
    <tableColumn id="23" xr3:uid="{83FB4D64-5881-4A8B-B76B-CF1AB9977A27}" name="PP7_e" dataDxfId="151" dataCellStyle="Komma"/>
    <tableColumn id="32" xr3:uid="{EB24F3AC-E967-439A-844D-3AF0BE12A18C}" name="PP8" dataDxfId="150" dataCellStyle="Komma"/>
    <tableColumn id="33" xr3:uid="{3A4FA20C-44BB-407B-A8D6-D2C035EFE622}" name="PP8_e" dataDxfId="149" dataCellStyle="Komma"/>
    <tableColumn id="35" xr3:uid="{00E5281F-EFCF-4194-A7F4-3733B07EF36D}" name="PP9" dataDxfId="148" dataCellStyle="Komma"/>
    <tableColumn id="34" xr3:uid="{D5800DA3-CD43-419B-A34B-0B493C102F71}" name="PP9_e" dataDxfId="147" dataCellStyle="Komma"/>
    <tableColumn id="36" xr3:uid="{48C0218B-5728-4C59-95B7-6C68D0CDB531}" name="PP10" totalsRowFunction="count" dataDxfId="146" dataCellStyle="Komma"/>
    <tableColumn id="52" xr3:uid="{0CB7EB7D-EB0E-4C44-B8BC-0EAB4C11D864}" name="PP10_e" dataDxfId="145" dataCellStyle="Komma"/>
    <tableColumn id="53" xr3:uid="{2A55F48A-F2EE-44DD-86B9-8441E514AE58}" name="FP" dataDxfId="144" dataCellStyle="Komma"/>
    <tableColumn id="67" xr3:uid="{D497404C-A50E-4289-A0FB-2DD9A5530231}" name="FP_e" dataDxfId="143" dataCellStyle="Komma"/>
    <tableColumn id="68" xr3:uid="{47C25A85-40F5-42E7-BC3D-031F8E17C364}" name="CFP" dataDxfId="142" dataCellStyle="Komma"/>
    <tableColumn id="69" xr3:uid="{8424583A-DC52-4D3D-BB46-1FF813CE339C}" name="CFP_e" dataDxfId="141" dataCellStyle="Komma"/>
    <tableColumn id="70" xr3:uid="{29406C68-B93D-4949-8B2A-CB4BF3421FE0}" name="Saldo_P" dataDxfId="140" dataCellStyle="Komma">
      <calculatedColumnFormula>Daten[[#This Row],[PP1]]+IF(Daten[[#This Row],[PP2_e]]="x",Daten[[#This Row],[PP2]],0)+IF(Daten[[#This Row],[PP3_e]]="x",Daten[[#This Row],[PP3]],0)+IF(Daten[[#This Row],[PP4_e]]="x",Daten[[#This Row],[PP4]],0)+IF(Daten[[#This Row],[PP5_e]]="x",Daten[[#This Row],[PP5]],0)+IF(Daten[[#This Row],[PP6_e]]="x",Daten[[#This Row],[PP6]],0)+IF(Daten[[#This Row],[PP7_e]]="x",Daten[[#This Row],[PP7]],0)+IF(Daten[[#This Row],[PP8_e]]="x",Daten[[#This Row],[PP8]],0)+IF(Daten[[#This Row],[PP9_e]]="x",Daten[[#This Row],[PP9]],0)+IF(Daten[[#This Row],[PP10_e]]="x",Daten[[#This Row],[PP10]],0)+IF(Daten[[#This Row],[FP_e]]="x",Daten[[#This Row],[FP]],0)+IF(Daten[[#This Row],[CFP_e]]="x",Daten[[#This Row],[CFP]],0)</calculatedColumnFormula>
    </tableColumn>
    <tableColumn id="71" xr3:uid="{D0113C94-C751-4686-BA2A-B4C493AC4623}" name="Saldo Zahlungen inkl aktueller Zahlung" dataDxfId="139" dataCellStyle="Standard 2">
      <calculatedColumnFormula>Daten[[#This Row],[PP1]]+IF(OR(Daten[[#This Row],[PP2_e]]="x",Daten[[#This Row],[PP2_e]]="Z"),Daten[[#This Row],[PP2]],0)+IF(OR(Daten[[#This Row],[PP3_e]]="x",Daten[[#This Row],[PP3_e]]="Z"),Daten[[#This Row],[PP3]],0)+IF(OR(Daten[[#This Row],[PP4_e]]="x",Daten[[#This Row],[PP4_e]]="Z"),Daten[[#This Row],[PP4]],0)+IF(OR(Daten[[#This Row],[PP5_e]]="x",Daten[[#This Row],[PP5_e]]="Z"),Daten[[#This Row],[PP5]],0)+IF(OR(Daten[[#This Row],[PP6_e]]="x",Daten[[#This Row],[PP6_e]]="Z"),Daten[[#This Row],[PP6]],0)+IF(OR(Daten[[#This Row],[PP7_e]]="x",Daten[[#This Row],[PP7_e]]="Z"),Daten[[#This Row],[PP7]],0)+IF(OR(Daten[[#This Row],[PP8_e]]="x",Daten[[#This Row],[PP8_e]]="Z"),Daten[[#This Row],[PP8]],0)+IF(OR(Daten[[#This Row],[PP9_e]]="x",Daten[[#This Row],[PP9_e]]="Z"),Daten[[#This Row],[PP9]],0)+IF(OR(Daten[[#This Row],[PP10_e]]="x",Daten[[#This Row],[PP10_e]]="Z"),Daten[[#This Row],[PP10]],0)+IF(OR(Daten[[#This Row],[FP_e]]="x",Daten[[#This Row],[FP_e]]="Z"),Daten[[#This Row],[FP]],0)+IF(OR(Daten[[#This Row],[CFP_e]]="x",Daten[[#This Row],[CFP_e]]="Z"),Daten[[#This Row],[CFP]],0)</calculatedColumnFormula>
    </tableColumn>
    <tableColumn id="87" xr3:uid="{28B10674-5DCD-4A02-8443-DB63A340112A}" name="Saldo Zahlungen inkl aktueller Zahlung Amendment" dataDxfId="138" dataCellStyle="Komma"/>
    <tableColumn id="84" xr3:uid="{D31FC182-D223-443C-BCC1-7D08F00872D4}" name="Saldo_P Inclusion" dataDxfId="137" dataCellStyle="Komma"/>
    <tableColumn id="83" xr3:uid="{57868B37-0AD1-4731-A359-3A9C01435B62}" name="Saldo_P OHNE Inclusion" dataDxfId="136" dataCellStyle="Komma"/>
    <tableColumn id="72" xr3:uid="{8A9659AE-B590-4E3B-99C9-8C9740404AAE}" name="Zahlungen_trf" dataDxfId="135" dataCellStyle="Standard 2">
      <calculatedColumnFormula>COUNTIF(Daten[[#This Row],[PP1]:[CFP_e]],"x")</calculatedColumnFormula>
    </tableColumn>
    <tableColumn id="73" xr3:uid="{9DD7FBAD-BE18-476C-9710-0B382CDC174F}" name="nächste Zahlung#" dataDxfId="134" dataCellStyle="Standard 2">
      <calculatedColumnFormula>IF((Daten[[#This Row],[Zahlungen_trf]]+1)&lt;=10,"PP"&amp;(Daten[[#This Row],[Zahlungen_trf]]+1),IF((Daten[[#This Row],[Zahlungen_trf]]+1)=11,"FP","CFP"))</calculatedColumnFormula>
    </tableColumn>
    <tableColumn id="74" xr3:uid="{E5DA9180-DD2E-4243-9E22-D29ED3C08F57}" name="nächste Zahlung_€" dataDxfId="133" totalsRowDxfId="132" dataCellStyle="Standard 2">
      <calculatedColumnFormula>INDEX(Daten[[#This Row],[PP1]:[CFP_e]],1,MATCH(Daten[[#This Row],[nächste Zahlung'#]],Daten[[#Headers],[PP1]:[CFP_e]],0))</calculatedColumnFormula>
    </tableColumn>
    <tableColumn id="75" xr3:uid="{0C6A17F2-3E70-461F-815B-2D843A4AEADE}" name="GA nach ZB#" dataDxfId="131" dataCellStyle="Standard 2"/>
    <tableColumn id="76" xr3:uid="{0C9E8571-961B-477E-B57E-BF4C615E4265}" name="?????" dataDxfId="130" dataCellStyle="Standard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75125BC-40DE-4ADE-91A2-BDD01E007AFD}" name="t_SMS" displayName="t_SMS" ref="B2:B5" totalsRowShown="0" headerRowDxfId="129">
  <autoFilter ref="B2:B5" xr:uid="{C75125BC-40DE-4ADE-91A2-BDD01E007AFD}"/>
  <tableColumns count="1">
    <tableColumn id="1" xr3:uid="{7FC046CE-B37B-4798-86E9-E0B7D2716400}" name="SM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79A73D9-3B4D-4C88-B4AB-CBF490159C77}" name="t_SMT" displayName="t_SMT" ref="D2:D5" totalsRowShown="0" headerRowDxfId="128">
  <autoFilter ref="D2:D5" xr:uid="{279A73D9-3B4D-4C88-B4AB-CBF490159C77}"/>
  <tableColumns count="1">
    <tableColumn id="1" xr3:uid="{6A333D57-5A24-442E-812B-C2BF3A46FF4F}" name="SM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0D0C6A2-A623-4A26-9E8A-F324370843BB}" name="t_STA" displayName="t_STA" ref="F2:F5" totalsRowShown="0" headerRowDxfId="127">
  <autoFilter ref="F2:F5" xr:uid="{F0D0C6A2-A623-4A26-9E8A-F324370843BB}"/>
  <tableColumns count="1">
    <tableColumn id="1" xr3:uid="{7758D922-5B22-437F-9675-87B7E0088E9A}" name="ST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195DE2-8C16-48F5-A695-822875A30B3E}" name="t_STT" displayName="t_STT" ref="H2:H5" totalsRowShown="0" headerRowDxfId="126">
  <autoFilter ref="H2:H5" xr:uid="{5C195DE2-8C16-48F5-A695-822875A30B3E}"/>
  <tableColumns count="1">
    <tableColumn id="1" xr3:uid="{90B712C6-55DC-4891-ABB8-8602E944EF5C}" name="STT"/>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31AC635-C445-4414-A1DB-B2B7862A146C}" name="t_OS" displayName="t_OS" ref="J2:J5" totalsRowShown="0" headerRowDxfId="125">
  <autoFilter ref="J2:J5" xr:uid="{431AC635-C445-4414-A1DB-B2B7862A146C}"/>
  <tableColumns count="1">
    <tableColumn id="1" xr3:uid="{9D1D0829-62F3-438E-B355-756049BE528A}" name="OS"/>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16441A4-CE5E-4114-885D-2286AD238634}" name="t_BIP" displayName="t_BIP" ref="L2:L5" totalsRowShown="0" headerRowDxfId="124">
  <autoFilter ref="L2:L5" xr:uid="{716441A4-CE5E-4114-885D-2286AD238634}"/>
  <tableColumns count="1">
    <tableColumn id="1" xr3:uid="{CF5FB199-0CEE-4460-A56D-047E08881C79}" name="BIP"/>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E6462C5-7D07-4BE4-83FA-C6C26DA514DC}" name="Datumsangaben" displayName="Datumsangaben" ref="N2:O3" totalsRowShown="0" headerRowDxfId="123">
  <autoFilter ref="N2:O3" xr:uid="{BE6462C5-7D07-4BE4-83FA-C6C26DA514DC}"/>
  <tableColumns count="2">
    <tableColumn id="1" xr3:uid="{9144BE5D-2ED2-48FC-9205-E6610222AFF7}" name="Stichtage" dataDxfId="122"/>
    <tableColumn id="2" xr3:uid="{287376C5-E82C-4806-9640-30DCA588F7D4}" name="Datum" dataDxfId="12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47" dT="2023-08-29T10:43:03.96" personId="{0E579659-B63F-4481-9439-56D1C1C6EDCE}" id="{BA227638-AAFC-4FCB-BC7D-AD80A999DF99}">
    <text>In I42 war diese Formel:
=MIN(F41+N42+O42+P42+Q42+R42+S42+T42+U42+V42+Z42+AA42;OS!G31)
Prinzipiell richtig, aber vielleicht verwirrend, da sich der Betrag mit Eingabe der Umschichtungen ändert.
Daher auf max. möglichen Betrag lt. Berechnung geändert.</text>
  </threadedComment>
  <threadedComment ref="J47" dT="2023-08-30T14:16:05.33" personId="{0E579659-B63F-4481-9439-56D1C1C6EDCE}" id="{BDAF69CE-0D28-4707-8148-3ED784487471}" parentId="{BA227638-AAFC-4FCB-BC7D-AD80A999DF99}">
    <text>In AC42 war diese Formel:
=WENN(UND((AC7+AC12+AC22+AC27)&lt;&gt;0;I44=I41);(K42-I41)*-1;I41-I44). Hat auf Amendment geprüft. Nur wenn Änderung bei Aktivitäten und ALLE OS Mittel in Anspruch genommen werden, dann wird neue Mobilitätszahl genommen.</text>
  </threadedComment>
  <threadedComment ref="J47" dT="2023-08-30T14:18:29.22" personId="{0E579659-B63F-4481-9439-56D1C1C6EDCE}" id="{3BBD6C93-4F28-4F9A-87AE-76D43E15B6E4}" parentId="{BA227638-AAFC-4FCB-BC7D-AD80A999DF99}">
    <text>In K42 war diese Formel:
=WENN(AC7+AC12+AC22+AC27&lt;&gt;0;OS!G31;OS!D31) Wenn Änderung bei Aktivitäten, dann bei OS berücksichtigen. Wenn nicht, dann OS lt Vereinbarung.</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table" Target="../tables/table3.xm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 Id="rId9"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21112-513D-4B4C-985C-708BA2DA9DB4}">
  <sheetPr>
    <pageSetUpPr fitToPage="1"/>
  </sheetPr>
  <dimension ref="B3:N31"/>
  <sheetViews>
    <sheetView tabSelected="1" workbookViewId="0">
      <selection activeCell="C8" sqref="C8:I8"/>
    </sheetView>
  </sheetViews>
  <sheetFormatPr baseColWidth="10" defaultColWidth="11.42578125" defaultRowHeight="15" x14ac:dyDescent="0.25"/>
  <cols>
    <col min="1" max="1" width="11.42578125" style="1"/>
    <col min="2" max="2" width="5.42578125" style="1" customWidth="1"/>
    <col min="3" max="3" width="4.7109375" style="1" customWidth="1"/>
    <col min="4" max="4" width="11.42578125" style="1"/>
    <col min="5" max="7" width="19.140625" style="1" customWidth="1"/>
    <col min="8" max="8" width="31.7109375" style="1" customWidth="1"/>
    <col min="9" max="9" width="19.140625" style="72" customWidth="1"/>
    <col min="10" max="10" width="5.42578125" style="1" customWidth="1"/>
    <col min="11" max="16384" width="11.42578125" style="1"/>
  </cols>
  <sheetData>
    <row r="3" spans="2:14" ht="33" customHeight="1" x14ac:dyDescent="0.25"/>
    <row r="5" spans="2:14" ht="65.25" customHeight="1" x14ac:dyDescent="0.3">
      <c r="B5" s="582" t="str">
        <f>Steuerung!U5&amp;"
"&amp;Steuerung!U7&amp;" "&amp; Steuerung!U8&amp;"
"&amp;Steuerung!U6</f>
        <v>1.  Z W I S C H E N B E R I C H T
ERASMUS+ MOBILITÄTSPROJEKTE FÜR STUDIERENDE UND HOCHSCHULPERSONAL (KA131)
Call 2023</v>
      </c>
      <c r="C5" s="583"/>
      <c r="D5" s="583"/>
      <c r="E5" s="583"/>
      <c r="F5" s="583"/>
      <c r="G5" s="583"/>
      <c r="H5" s="583"/>
      <c r="I5" s="583"/>
      <c r="J5" s="584"/>
    </row>
    <row r="6" spans="2:14" ht="11.25" customHeight="1" x14ac:dyDescent="0.2">
      <c r="B6" s="134"/>
      <c r="C6" s="135"/>
      <c r="D6" s="135"/>
      <c r="E6" s="135"/>
      <c r="F6" s="135"/>
      <c r="G6" s="135"/>
      <c r="H6" s="135"/>
      <c r="I6" s="135"/>
      <c r="J6" s="239" t="str">
        <f>Steuerung!U3</f>
        <v>1.1.0.e</v>
      </c>
    </row>
    <row r="7" spans="2:14" s="72" customFormat="1" x14ac:dyDescent="0.25">
      <c r="N7" s="133"/>
    </row>
    <row r="8" spans="2:14" s="72" customFormat="1" x14ac:dyDescent="0.25">
      <c r="C8" s="585" t="s">
        <v>379</v>
      </c>
      <c r="D8" s="586"/>
      <c r="E8" s="586"/>
      <c r="F8" s="586"/>
      <c r="G8" s="586"/>
      <c r="H8" s="586"/>
      <c r="I8" s="587"/>
    </row>
    <row r="9" spans="2:14" s="72" customFormat="1" x14ac:dyDescent="0.25"/>
    <row r="10" spans="2:14" s="72" customFormat="1" x14ac:dyDescent="0.25">
      <c r="C10" s="72" t="s">
        <v>288</v>
      </c>
      <c r="D10" s="72" t="s">
        <v>604</v>
      </c>
      <c r="I10" s="318" t="s">
        <v>294</v>
      </c>
    </row>
    <row r="11" spans="2:14" s="72" customFormat="1" x14ac:dyDescent="0.25"/>
    <row r="12" spans="2:14" s="72" customFormat="1" x14ac:dyDescent="0.25">
      <c r="C12" s="72" t="s">
        <v>289</v>
      </c>
      <c r="D12" s="72" t="s">
        <v>378</v>
      </c>
      <c r="I12" s="319" t="s">
        <v>296</v>
      </c>
    </row>
    <row r="13" spans="2:14" s="72" customFormat="1" x14ac:dyDescent="0.25"/>
    <row r="14" spans="2:14" s="72" customFormat="1" x14ac:dyDescent="0.25">
      <c r="C14" s="72" t="s">
        <v>290</v>
      </c>
      <c r="D14" s="72" t="s">
        <v>390</v>
      </c>
      <c r="I14" s="319" t="s">
        <v>391</v>
      </c>
    </row>
    <row r="15" spans="2:14" s="72" customFormat="1" x14ac:dyDescent="0.25"/>
    <row r="16" spans="2:14" s="72" customFormat="1" x14ac:dyDescent="0.25">
      <c r="C16" s="72" t="s">
        <v>291</v>
      </c>
      <c r="D16" s="72" t="s">
        <v>295</v>
      </c>
    </row>
    <row r="17" spans="3:9" s="72" customFormat="1" x14ac:dyDescent="0.25"/>
    <row r="18" spans="3:9" s="72" customFormat="1" x14ac:dyDescent="0.25">
      <c r="C18" s="72" t="s">
        <v>292</v>
      </c>
      <c r="D18" s="72" t="s">
        <v>380</v>
      </c>
      <c r="I18" s="319" t="s">
        <v>296</v>
      </c>
    </row>
    <row r="19" spans="3:9" s="72" customFormat="1" x14ac:dyDescent="0.25"/>
    <row r="20" spans="3:9" s="72" customFormat="1" x14ac:dyDescent="0.25">
      <c r="C20" s="72" t="s">
        <v>293</v>
      </c>
      <c r="D20" s="72" t="s">
        <v>482</v>
      </c>
      <c r="I20" s="76" t="s">
        <v>297</v>
      </c>
    </row>
    <row r="21" spans="3:9" s="72" customFormat="1" x14ac:dyDescent="0.25"/>
    <row r="22" spans="3:9" s="72" customFormat="1" x14ac:dyDescent="0.25">
      <c r="C22" s="72" t="s">
        <v>896</v>
      </c>
      <c r="D22" s="72" t="s">
        <v>602</v>
      </c>
      <c r="I22" s="319" t="s">
        <v>391</v>
      </c>
    </row>
    <row r="23" spans="3:9" s="72" customFormat="1" x14ac:dyDescent="0.25"/>
    <row r="24" spans="3:9" x14ac:dyDescent="0.25">
      <c r="C24" s="1" t="s">
        <v>897</v>
      </c>
      <c r="D24" s="72" t="s">
        <v>603</v>
      </c>
      <c r="E24" s="72"/>
      <c r="F24" s="72"/>
      <c r="G24" s="72"/>
      <c r="H24" s="72"/>
    </row>
    <row r="25" spans="3:9" x14ac:dyDescent="0.25">
      <c r="D25" s="72"/>
      <c r="E25" s="72"/>
      <c r="F25" s="72"/>
      <c r="G25" s="72"/>
      <c r="H25" s="72"/>
    </row>
    <row r="26" spans="3:9" x14ac:dyDescent="0.25">
      <c r="C26" s="132" t="s">
        <v>898</v>
      </c>
      <c r="D26" s="588" t="s">
        <v>456</v>
      </c>
      <c r="E26" s="588"/>
      <c r="F26" s="588"/>
      <c r="G26" s="588"/>
      <c r="H26" s="588"/>
    </row>
    <row r="27" spans="3:9" ht="15" customHeight="1" x14ac:dyDescent="0.25">
      <c r="D27" s="72"/>
      <c r="E27" s="72"/>
      <c r="F27" s="72"/>
      <c r="G27" s="72"/>
      <c r="H27" s="72"/>
    </row>
    <row r="28" spans="3:9" ht="28.5" customHeight="1" x14ac:dyDescent="0.25">
      <c r="D28" s="589" t="s">
        <v>899</v>
      </c>
      <c r="E28" s="589"/>
      <c r="F28" s="589"/>
      <c r="G28" s="589"/>
      <c r="H28" s="589"/>
    </row>
    <row r="29" spans="3:9" x14ac:dyDescent="0.25">
      <c r="C29" s="132"/>
      <c r="D29" s="168"/>
      <c r="E29" s="168"/>
      <c r="F29" s="168"/>
      <c r="G29" s="168"/>
      <c r="H29" s="168"/>
    </row>
    <row r="30" spans="3:9" ht="27" customHeight="1" x14ac:dyDescent="0.25">
      <c r="C30" s="132" t="s">
        <v>900</v>
      </c>
      <c r="D30" s="581" t="s">
        <v>457</v>
      </c>
      <c r="E30" s="581"/>
      <c r="F30" s="581"/>
      <c r="G30" s="581"/>
      <c r="H30" s="581"/>
    </row>
    <row r="31" spans="3:9" x14ac:dyDescent="0.25">
      <c r="D31" s="142"/>
      <c r="E31" s="142"/>
      <c r="F31" s="142"/>
      <c r="G31" s="142"/>
      <c r="H31" s="142"/>
    </row>
  </sheetData>
  <sheetProtection algorithmName="SHA-512" hashValue="9KUbRr1iMuSKNTGlhpM1OxxRtQoWXwcnWO46gqxlxv2A2hHlNBf0kYXpNJZYU5DqRNiee+ekFmZT6b4hSGgKmQ==" saltValue="ZJ/eVenxU+H0rkbeL+jaAg==" spinCount="100000" sheet="1" objects="1" scenarios="1"/>
  <mergeCells count="5">
    <mergeCell ref="D30:H30"/>
    <mergeCell ref="B5:J5"/>
    <mergeCell ref="C8:I8"/>
    <mergeCell ref="D26:H26"/>
    <mergeCell ref="D28:H28"/>
  </mergeCells>
  <hyperlinks>
    <hyperlink ref="I10" location="'Dateneingabe Mobilitäten'!C1" display="--&gt; Dateneingabe" xr:uid="{209B4FF3-8DFC-43A6-BDE3-0D477E0FC261}"/>
    <hyperlink ref="I12" location="'Ausdruck 1'!B72" display="--&gt; Ausdruck 1" xr:uid="{7A2D824B-BD50-4065-97D9-AABCA3310B11}"/>
    <hyperlink ref="I14" location="'Ausdruck 3'!L46" display="--&gt; Ausdruck 3" xr:uid="{AE0EE7F2-638F-4F85-B567-AF931DD0F809}"/>
    <hyperlink ref="I20" location="'Ausdruck 2'!I25" display="--&gt; Druck 2" xr:uid="{2F9A9B55-3A92-44DE-B9E8-C3225F1C9182}"/>
    <hyperlink ref="I18" location="'Ausdruck 1'!B72" display="--&gt; Ausdruck 1" xr:uid="{038CAB5A-F4A8-43A7-A9B1-2E0EB888CE98}"/>
    <hyperlink ref="I22" location="'Ausdruck 3'!L46" display="--&gt; Ausdruck 3" xr:uid="{B3D3EE81-C041-4A9C-B4B4-94FD58E443A9}"/>
  </hyperlinks>
  <pageMargins left="0.70866141732283472" right="0.70866141732283472" top="0.78740157480314965" bottom="0.51181102362204722" header="0.31496062992125984" footer="0.31496062992125984"/>
  <pageSetup paperSize="9" scale="84" orientation="landscape" r:id="rId1"/>
  <headerFooter>
    <oddFooter>&amp;L&amp;"Calibri,Standard"&amp;8Ben_InRe1-KA131_Call2021-02.0_v2021-11-02_frei&amp;R&amp;"Calibri,Standard"&amp;8gedruckt am: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8CA2A-6962-4D24-8249-2118243E95E1}">
  <dimension ref="A1:GR4"/>
  <sheetViews>
    <sheetView workbookViewId="0"/>
  </sheetViews>
  <sheetFormatPr baseColWidth="10" defaultColWidth="11.42578125" defaultRowHeight="15" x14ac:dyDescent="0.25"/>
  <cols>
    <col min="1" max="1" width="13.140625" style="72" bestFit="1" customWidth="1"/>
    <col min="2" max="2" width="13.28515625" style="72" bestFit="1" customWidth="1"/>
    <col min="3" max="3" width="13.7109375" style="72" bestFit="1" customWidth="1"/>
    <col min="4" max="4" width="19.140625" style="72" bestFit="1" customWidth="1"/>
    <col min="5" max="5" width="19.5703125" style="72" bestFit="1" customWidth="1"/>
    <col min="6" max="7" width="21" style="72" bestFit="1" customWidth="1"/>
    <col min="8" max="8" width="13.85546875" style="72" bestFit="1" customWidth="1"/>
    <col min="9" max="9" width="14.28515625" style="72" bestFit="1" customWidth="1"/>
    <col min="10" max="10" width="16.140625" style="72" bestFit="1" customWidth="1"/>
    <col min="11" max="11" width="17" style="72" bestFit="1" customWidth="1"/>
    <col min="12" max="12" width="16.140625" style="72" bestFit="1" customWidth="1"/>
    <col min="13" max="13" width="17" style="72" bestFit="1" customWidth="1"/>
    <col min="14" max="14" width="15.5703125" style="72" bestFit="1" customWidth="1"/>
    <col min="15" max="15" width="16.5703125" style="72" bestFit="1" customWidth="1"/>
    <col min="16" max="16" width="15.28515625" style="72" bestFit="1" customWidth="1"/>
    <col min="17" max="17" width="16.28515625" style="72" bestFit="1" customWidth="1"/>
    <col min="18" max="18" width="17.28515625" style="72" bestFit="1" customWidth="1"/>
    <col min="19" max="19" width="17.28515625" style="72" customWidth="1"/>
    <col min="20" max="20" width="14.7109375" style="72" bestFit="1" customWidth="1"/>
    <col min="21" max="21" width="19.28515625" style="72" bestFit="1" customWidth="1"/>
    <col min="22" max="22" width="19.28515625" style="72" customWidth="1"/>
    <col min="23" max="23" width="15.140625" style="72" bestFit="1" customWidth="1"/>
    <col min="24" max="24" width="13.28515625" style="72" bestFit="1" customWidth="1"/>
    <col min="25" max="25" width="13.7109375" style="72" bestFit="1" customWidth="1"/>
    <col min="26" max="26" width="19.140625" style="72" bestFit="1" customWidth="1"/>
    <col min="27" max="27" width="19.5703125" style="72" bestFit="1" customWidth="1"/>
    <col min="28" max="29" width="21" style="72" bestFit="1" customWidth="1"/>
    <col min="30" max="30" width="13.85546875" style="72" bestFit="1" customWidth="1"/>
    <col min="31" max="31" width="14.28515625" style="72" bestFit="1" customWidth="1"/>
    <col min="32" max="32" width="16.140625" style="72" bestFit="1" customWidth="1"/>
    <col min="33" max="33" width="17" style="72" bestFit="1" customWidth="1"/>
    <col min="34" max="34" width="16.140625" style="72" bestFit="1" customWidth="1"/>
    <col min="35" max="35" width="17" style="72" bestFit="1" customWidth="1"/>
    <col min="36" max="36" width="15.5703125" style="72" bestFit="1" customWidth="1"/>
    <col min="37" max="37" width="16.5703125" style="72" bestFit="1" customWidth="1"/>
    <col min="38" max="38" width="15.28515625" style="72" bestFit="1" customWidth="1"/>
    <col min="39" max="39" width="16.28515625" style="72" bestFit="1" customWidth="1"/>
    <col min="40" max="40" width="17.28515625" style="72" bestFit="1" customWidth="1"/>
    <col min="41" max="41" width="17.28515625" style="72" customWidth="1"/>
    <col min="42" max="42" width="14.7109375" style="72" bestFit="1" customWidth="1"/>
    <col min="43" max="43" width="15.5703125" style="72" bestFit="1" customWidth="1"/>
    <col min="44" max="44" width="15.140625" style="72" bestFit="1" customWidth="1"/>
    <col min="45" max="45" width="16.140625" style="72" bestFit="1" customWidth="1"/>
    <col min="46" max="46" width="12.85546875" style="72" bestFit="1" customWidth="1"/>
    <col min="47" max="47" width="13.28515625" style="72" bestFit="1" customWidth="1"/>
    <col min="48" max="48" width="18.7109375" style="72" bestFit="1" customWidth="1"/>
    <col min="49" max="49" width="19.140625" style="72" bestFit="1" customWidth="1"/>
    <col min="50" max="51" width="20.5703125" style="72" bestFit="1" customWidth="1"/>
    <col min="52" max="52" width="13.42578125" style="72" bestFit="1" customWidth="1"/>
    <col min="53" max="53" width="13.85546875" style="72" bestFit="1" customWidth="1"/>
    <col min="54" max="54" width="15.5703125" style="72" bestFit="1" customWidth="1"/>
    <col min="55" max="55" width="16.5703125" style="72" bestFit="1" customWidth="1"/>
    <col min="56" max="56" width="15.5703125" style="72" bestFit="1" customWidth="1"/>
    <col min="57" max="57" width="16.5703125" style="72" bestFit="1" customWidth="1"/>
    <col min="58" max="58" width="15.140625" style="72" bestFit="1" customWidth="1"/>
    <col min="59" max="59" width="16.140625" style="72" bestFit="1" customWidth="1"/>
    <col min="60" max="60" width="14.85546875" style="72" bestFit="1" customWidth="1"/>
    <col min="61" max="61" width="15.7109375" style="72" bestFit="1" customWidth="1"/>
    <col min="62" max="62" width="16.85546875" style="72" bestFit="1" customWidth="1"/>
    <col min="63" max="63" width="16.85546875" style="72" customWidth="1"/>
    <col min="64" max="64" width="14.28515625" style="72" bestFit="1" customWidth="1"/>
    <col min="65" max="65" width="18.85546875" style="72" bestFit="1" customWidth="1"/>
    <col min="66" max="66" width="14.7109375" style="72" bestFit="1" customWidth="1"/>
    <col min="67" max="67" width="14.7109375" style="72" customWidth="1"/>
    <col min="68" max="68" width="12.5703125" style="72" bestFit="1" customWidth="1"/>
    <col min="69" max="69" width="13" style="72" bestFit="1" customWidth="1"/>
    <col min="70" max="70" width="18.42578125" style="72" bestFit="1" customWidth="1"/>
    <col min="71" max="71" width="18.85546875" style="72" bestFit="1" customWidth="1"/>
    <col min="72" max="73" width="20.28515625" style="72" bestFit="1" customWidth="1"/>
    <col min="74" max="74" width="13.140625" style="72" bestFit="1" customWidth="1"/>
    <col min="75" max="75" width="13.5703125" style="72" bestFit="1" customWidth="1"/>
    <col min="76" max="76" width="15.28515625" style="72" bestFit="1" customWidth="1"/>
    <col min="77" max="77" width="16.28515625" style="72" bestFit="1" customWidth="1"/>
    <col min="78" max="78" width="15.28515625" style="72" bestFit="1" customWidth="1"/>
    <col min="79" max="79" width="16.28515625" style="72" bestFit="1" customWidth="1"/>
    <col min="80" max="80" width="14.85546875" style="72" bestFit="1" customWidth="1"/>
    <col min="81" max="81" width="15.7109375" style="72" bestFit="1" customWidth="1"/>
    <col min="82" max="82" width="14.5703125" style="72" bestFit="1" customWidth="1"/>
    <col min="83" max="83" width="15.42578125" style="72" bestFit="1" customWidth="1"/>
    <col min="84" max="84" width="16.5703125" style="72" bestFit="1" customWidth="1"/>
    <col min="85" max="85" width="16.5703125" style="72" customWidth="1"/>
    <col min="86" max="86" width="14" style="72" bestFit="1" customWidth="1"/>
    <col min="87" max="87" width="18.5703125" style="72" bestFit="1" customWidth="1"/>
    <col min="88" max="88" width="14.42578125" style="72" bestFit="1" customWidth="1"/>
    <col min="89" max="89" width="14.42578125" style="72" customWidth="1"/>
    <col min="90" max="90" width="16.42578125" style="72" bestFit="1" customWidth="1"/>
    <col min="91" max="91" width="17" style="72" bestFit="1" customWidth="1"/>
    <col min="92" max="92" width="17" style="72" customWidth="1"/>
    <col min="93" max="93" width="17.42578125" style="72" bestFit="1" customWidth="1"/>
    <col min="94" max="95" width="17.42578125" style="72" customWidth="1"/>
    <col min="96" max="96" width="19.140625" style="72" bestFit="1" customWidth="1"/>
    <col min="97" max="98" width="18.7109375" style="72" bestFit="1" customWidth="1"/>
    <col min="99" max="99" width="18.42578125" style="72" bestFit="1" customWidth="1"/>
    <col min="100" max="100" width="17.85546875" style="72" bestFit="1" customWidth="1"/>
    <col min="101" max="101" width="18.28515625" style="72" bestFit="1" customWidth="1"/>
    <col min="102" max="102" width="11" style="72" bestFit="1" customWidth="1"/>
    <col min="103" max="103" width="12.42578125" style="72" bestFit="1" customWidth="1"/>
    <col min="104" max="104" width="16.28515625" style="72" bestFit="1" customWidth="1"/>
    <col min="105" max="105" width="17.140625" style="72" bestFit="1" customWidth="1"/>
    <col min="106" max="107" width="17.140625" style="72" customWidth="1"/>
    <col min="108" max="108" width="15.5703125" style="72" bestFit="1" customWidth="1"/>
    <col min="109" max="109" width="15.5703125" style="72" customWidth="1"/>
    <col min="110" max="110" width="15.5703125" style="72" bestFit="1" customWidth="1"/>
    <col min="111" max="111" width="15.5703125" style="72" customWidth="1"/>
    <col min="112" max="112" width="15.140625" style="72" bestFit="1" customWidth="1"/>
    <col min="113" max="113" width="15.140625" style="72" customWidth="1"/>
    <col min="114" max="114" width="14.85546875" style="72" bestFit="1" customWidth="1"/>
    <col min="115" max="115" width="15.85546875" style="72" bestFit="1" customWidth="1"/>
    <col min="116" max="118" width="15.85546875" style="72" customWidth="1"/>
    <col min="119" max="119" width="17.28515625" style="72" bestFit="1" customWidth="1"/>
    <col min="120" max="120" width="17.7109375" style="72" bestFit="1" customWidth="1"/>
    <col min="121" max="121" width="14.7109375" style="72" bestFit="1" customWidth="1"/>
    <col min="122" max="123" width="21.28515625" style="72" bestFit="1" customWidth="1"/>
    <col min="124" max="124" width="20.7109375" style="72" bestFit="1" customWidth="1"/>
    <col min="125" max="125" width="20.42578125" style="72" bestFit="1" customWidth="1"/>
    <col min="126" max="126" width="20.42578125" style="72" customWidth="1"/>
    <col min="127" max="127" width="21.5703125" style="72" bestFit="1" customWidth="1"/>
    <col min="128" max="128" width="16.28515625" style="72" bestFit="1" customWidth="1"/>
    <col min="129" max="129" width="16.7109375" style="72" bestFit="1" customWidth="1"/>
    <col min="130" max="130" width="15" style="72" bestFit="1" customWidth="1"/>
    <col min="131" max="131" width="15.42578125" style="72" bestFit="1" customWidth="1"/>
    <col min="132" max="132" width="9.28515625" style="72" bestFit="1" customWidth="1"/>
    <col min="133" max="133" width="9.28515625" style="72" customWidth="1"/>
    <col min="134" max="134" width="14" style="72" bestFit="1" customWidth="1"/>
    <col min="135" max="135" width="14.42578125" style="72" bestFit="1" customWidth="1"/>
    <col min="136" max="136" width="9.28515625" style="72" bestFit="1" customWidth="1"/>
    <col min="137" max="137" width="9.28515625" style="72" customWidth="1"/>
    <col min="138" max="138" width="14" style="72" bestFit="1" customWidth="1"/>
    <col min="139" max="139" width="14.42578125" style="72" bestFit="1" customWidth="1"/>
    <col min="140" max="140" width="9.28515625" style="72" bestFit="1" customWidth="1"/>
    <col min="141" max="141" width="9.28515625" style="72" customWidth="1"/>
    <col min="142" max="142" width="14" style="72" bestFit="1" customWidth="1"/>
    <col min="143" max="143" width="14.42578125" style="72" bestFit="1" customWidth="1"/>
    <col min="144" max="144" width="9.28515625" style="72" bestFit="1" customWidth="1"/>
    <col min="145" max="145" width="9.28515625" style="72" customWidth="1"/>
    <col min="146" max="146" width="14" style="72" bestFit="1" customWidth="1"/>
    <col min="147" max="147" width="14.42578125" style="72" bestFit="1" customWidth="1"/>
    <col min="148" max="163" width="16.5703125" style="72" customWidth="1"/>
    <col min="164" max="164" width="16.42578125" style="72" bestFit="1" customWidth="1"/>
    <col min="165" max="165" width="18.140625" style="72" bestFit="1" customWidth="1"/>
    <col min="166" max="166" width="16.42578125" style="72" bestFit="1" customWidth="1"/>
    <col min="167" max="167" width="18.140625" style="72" bestFit="1" customWidth="1"/>
    <col min="168" max="168" width="15.85546875" style="72" bestFit="1" customWidth="1"/>
    <col min="169" max="169" width="17.7109375" style="72" bestFit="1" customWidth="1"/>
    <col min="170" max="170" width="15.5703125" style="72" bestFit="1" customWidth="1"/>
    <col min="171" max="171" width="17.42578125" style="72" bestFit="1" customWidth="1"/>
    <col min="172" max="172" width="23.85546875" style="72" bestFit="1" customWidth="1"/>
    <col min="173" max="173" width="15" style="72" bestFit="1" customWidth="1"/>
    <col min="174" max="174" width="16.85546875" style="72" bestFit="1" customWidth="1"/>
    <col min="175" max="175" width="24" style="72" bestFit="1" customWidth="1"/>
    <col min="176" max="176" width="15.42578125" style="72" bestFit="1" customWidth="1"/>
    <col min="177" max="177" width="21.28515625" style="72" bestFit="1" customWidth="1"/>
    <col min="178" max="178" width="21.5703125" style="72" bestFit="1" customWidth="1"/>
    <col min="179" max="183" width="13.140625" style="72" bestFit="1" customWidth="1"/>
    <col min="184" max="184" width="14.28515625" style="72" bestFit="1" customWidth="1"/>
    <col min="185" max="185" width="10.85546875" style="72" bestFit="1" customWidth="1"/>
    <col min="186" max="186" width="6.85546875" style="72" bestFit="1" customWidth="1"/>
    <col min="187" max="187" width="10.140625" style="72" bestFit="1" customWidth="1"/>
    <col min="188" max="188" width="10.140625" style="72" customWidth="1"/>
    <col min="189" max="189" width="11.140625" style="72" bestFit="1" customWidth="1"/>
    <col min="190" max="190" width="9.85546875" style="72" bestFit="1" customWidth="1"/>
    <col min="191" max="191" width="22.42578125" style="72" bestFit="1" customWidth="1"/>
    <col min="192" max="193" width="17.5703125" style="72" bestFit="1" customWidth="1"/>
    <col min="194" max="194" width="17.5703125" style="72" customWidth="1"/>
    <col min="195" max="195" width="22.85546875" style="72" bestFit="1" customWidth="1"/>
    <col min="196" max="197" width="17.5703125" style="72" bestFit="1" customWidth="1"/>
    <col min="198" max="16384" width="11.42578125" style="72"/>
  </cols>
  <sheetData>
    <row r="1" spans="1:200" x14ac:dyDescent="0.25">
      <c r="A1" s="72" t="s">
        <v>304</v>
      </c>
      <c r="B1" s="72" t="s">
        <v>305</v>
      </c>
      <c r="C1" s="72" t="s">
        <v>306</v>
      </c>
      <c r="D1" s="72" t="s">
        <v>396</v>
      </c>
      <c r="E1" s="72" t="s">
        <v>397</v>
      </c>
      <c r="F1" s="72" t="s">
        <v>398</v>
      </c>
      <c r="G1" s="72" t="s">
        <v>399</v>
      </c>
      <c r="H1" s="72" t="s">
        <v>307</v>
      </c>
      <c r="I1" s="72" t="s">
        <v>308</v>
      </c>
      <c r="J1" s="311" t="s">
        <v>309</v>
      </c>
      <c r="K1" s="311" t="s">
        <v>310</v>
      </c>
      <c r="L1" s="311" t="s">
        <v>311</v>
      </c>
      <c r="M1" s="311" t="s">
        <v>312</v>
      </c>
      <c r="N1" s="311" t="s">
        <v>313</v>
      </c>
      <c r="O1" s="311" t="s">
        <v>314</v>
      </c>
      <c r="P1" s="311" t="s">
        <v>315</v>
      </c>
      <c r="Q1" s="311" t="s">
        <v>316</v>
      </c>
      <c r="R1" s="311" t="s">
        <v>468</v>
      </c>
      <c r="S1" s="475" t="s">
        <v>555</v>
      </c>
      <c r="T1" s="311" t="s">
        <v>317</v>
      </c>
      <c r="U1" s="475" t="s">
        <v>901</v>
      </c>
      <c r="V1" s="311" t="s">
        <v>902</v>
      </c>
      <c r="W1" s="475" t="s">
        <v>903</v>
      </c>
      <c r="X1" s="72" t="s">
        <v>318</v>
      </c>
      <c r="Y1" s="72" t="s">
        <v>319</v>
      </c>
      <c r="Z1" s="72" t="s">
        <v>400</v>
      </c>
      <c r="AA1" s="72" t="s">
        <v>401</v>
      </c>
      <c r="AB1" s="72" t="s">
        <v>402</v>
      </c>
      <c r="AC1" s="72" t="s">
        <v>403</v>
      </c>
      <c r="AD1" s="72" t="s">
        <v>320</v>
      </c>
      <c r="AE1" s="72" t="s">
        <v>321</v>
      </c>
      <c r="AF1" s="311" t="s">
        <v>348</v>
      </c>
      <c r="AG1" s="311" t="s">
        <v>349</v>
      </c>
      <c r="AH1" s="311" t="s">
        <v>322</v>
      </c>
      <c r="AI1" s="311" t="s">
        <v>323</v>
      </c>
      <c r="AJ1" s="311" t="s">
        <v>324</v>
      </c>
      <c r="AK1" s="311" t="s">
        <v>325</v>
      </c>
      <c r="AL1" s="311" t="s">
        <v>326</v>
      </c>
      <c r="AM1" s="311" t="s">
        <v>327</v>
      </c>
      <c r="AN1" s="311" t="s">
        <v>469</v>
      </c>
      <c r="AO1" s="475" t="s">
        <v>556</v>
      </c>
      <c r="AP1" s="311" t="s">
        <v>328</v>
      </c>
      <c r="AQ1" s="475" t="s">
        <v>904</v>
      </c>
      <c r="AR1" s="311" t="s">
        <v>329</v>
      </c>
      <c r="AS1" s="475" t="s">
        <v>905</v>
      </c>
      <c r="AT1" s="72" t="s">
        <v>330</v>
      </c>
      <c r="AU1" s="72" t="s">
        <v>331</v>
      </c>
      <c r="AV1" s="72" t="s">
        <v>404</v>
      </c>
      <c r="AW1" s="72" t="s">
        <v>405</v>
      </c>
      <c r="AX1" s="72" t="s">
        <v>406</v>
      </c>
      <c r="AY1" s="72" t="s">
        <v>407</v>
      </c>
      <c r="AZ1" s="72" t="s">
        <v>332</v>
      </c>
      <c r="BA1" s="72" t="s">
        <v>333</v>
      </c>
      <c r="BB1" s="311" t="s">
        <v>350</v>
      </c>
      <c r="BC1" s="311" t="s">
        <v>351</v>
      </c>
      <c r="BD1" s="311" t="s">
        <v>352</v>
      </c>
      <c r="BE1" s="311" t="s">
        <v>353</v>
      </c>
      <c r="BF1" s="311" t="s">
        <v>334</v>
      </c>
      <c r="BG1" s="311" t="s">
        <v>335</v>
      </c>
      <c r="BH1" s="311" t="s">
        <v>336</v>
      </c>
      <c r="BI1" s="311" t="s">
        <v>337</v>
      </c>
      <c r="BJ1" s="311" t="s">
        <v>470</v>
      </c>
      <c r="BK1" s="475" t="s">
        <v>557</v>
      </c>
      <c r="BL1" s="311" t="s">
        <v>338</v>
      </c>
      <c r="BM1" s="475" t="s">
        <v>906</v>
      </c>
      <c r="BN1" s="311" t="s">
        <v>339</v>
      </c>
      <c r="BO1" s="475" t="s">
        <v>907</v>
      </c>
      <c r="BP1" s="72" t="s">
        <v>340</v>
      </c>
      <c r="BQ1" s="72" t="s">
        <v>341</v>
      </c>
      <c r="BR1" s="72" t="s">
        <v>408</v>
      </c>
      <c r="BS1" s="72" t="s">
        <v>409</v>
      </c>
      <c r="BT1" s="72" t="s">
        <v>410</v>
      </c>
      <c r="BU1" s="72" t="s">
        <v>411</v>
      </c>
      <c r="BV1" s="72" t="s">
        <v>342</v>
      </c>
      <c r="BW1" s="72" t="s">
        <v>343</v>
      </c>
      <c r="BX1" s="311" t="s">
        <v>354</v>
      </c>
      <c r="BY1" s="311" t="s">
        <v>355</v>
      </c>
      <c r="BZ1" s="311" t="s">
        <v>356</v>
      </c>
      <c r="CA1" s="311" t="s">
        <v>357</v>
      </c>
      <c r="CB1" s="311" t="s">
        <v>358</v>
      </c>
      <c r="CC1" s="311" t="s">
        <v>359</v>
      </c>
      <c r="CD1" s="311" t="s">
        <v>344</v>
      </c>
      <c r="CE1" s="311" t="s">
        <v>345</v>
      </c>
      <c r="CF1" s="311" t="s">
        <v>471</v>
      </c>
      <c r="CG1" s="475" t="s">
        <v>558</v>
      </c>
      <c r="CH1" s="311" t="s">
        <v>346</v>
      </c>
      <c r="CI1" s="475" t="s">
        <v>908</v>
      </c>
      <c r="CJ1" s="311" t="s">
        <v>347</v>
      </c>
      <c r="CK1" s="311" t="s">
        <v>909</v>
      </c>
      <c r="CL1" s="475" t="s">
        <v>910</v>
      </c>
      <c r="CM1" s="475" t="s">
        <v>911</v>
      </c>
      <c r="CN1" s="475" t="s">
        <v>912</v>
      </c>
      <c r="CO1" s="475" t="s">
        <v>913</v>
      </c>
      <c r="CP1" s="475" t="s">
        <v>914</v>
      </c>
      <c r="CQ1" s="475" t="s">
        <v>915</v>
      </c>
      <c r="CR1" s="311" t="s">
        <v>473</v>
      </c>
      <c r="CS1" s="311" t="s">
        <v>474</v>
      </c>
      <c r="CT1" s="311" t="s">
        <v>475</v>
      </c>
      <c r="CU1" s="311" t="s">
        <v>476</v>
      </c>
      <c r="CV1" s="311" t="s">
        <v>477</v>
      </c>
      <c r="CW1" s="311" t="s">
        <v>478</v>
      </c>
      <c r="CX1" s="475" t="s">
        <v>957</v>
      </c>
      <c r="CY1" s="72" t="s">
        <v>360</v>
      </c>
      <c r="CZ1" s="72" t="s">
        <v>361</v>
      </c>
      <c r="DA1" s="72" t="s">
        <v>362</v>
      </c>
      <c r="DB1" s="475" t="s">
        <v>958</v>
      </c>
      <c r="DC1" s="475" t="s">
        <v>916</v>
      </c>
      <c r="DD1" s="311" t="s">
        <v>363</v>
      </c>
      <c r="DE1" s="475" t="s">
        <v>917</v>
      </c>
      <c r="DF1" s="311" t="s">
        <v>364</v>
      </c>
      <c r="DG1" s="475" t="s">
        <v>918</v>
      </c>
      <c r="DH1" s="311" t="s">
        <v>365</v>
      </c>
      <c r="DI1" s="475" t="s">
        <v>919</v>
      </c>
      <c r="DJ1" s="311" t="s">
        <v>366</v>
      </c>
      <c r="DK1" s="311" t="s">
        <v>472</v>
      </c>
      <c r="DL1" s="475" t="s">
        <v>920</v>
      </c>
      <c r="DM1" s="475" t="s">
        <v>921</v>
      </c>
      <c r="DN1" s="475" t="s">
        <v>922</v>
      </c>
      <c r="DO1" s="72" t="s">
        <v>367</v>
      </c>
      <c r="DP1" s="72" t="s">
        <v>368</v>
      </c>
      <c r="DQ1" s="72" t="s">
        <v>369</v>
      </c>
      <c r="DR1" s="311" t="s">
        <v>559</v>
      </c>
      <c r="DS1" s="311" t="s">
        <v>560</v>
      </c>
      <c r="DT1" s="311" t="s">
        <v>561</v>
      </c>
      <c r="DU1" s="311" t="s">
        <v>562</v>
      </c>
      <c r="DV1" s="475" t="s">
        <v>923</v>
      </c>
      <c r="DW1" s="311" t="s">
        <v>563</v>
      </c>
      <c r="DX1" s="72" t="s">
        <v>566</v>
      </c>
      <c r="DY1" s="72" t="s">
        <v>567</v>
      </c>
      <c r="DZ1" s="72" t="s">
        <v>564</v>
      </c>
      <c r="EA1" s="72" t="s">
        <v>565</v>
      </c>
      <c r="EB1" s="72" t="s">
        <v>568</v>
      </c>
      <c r="EC1" s="72" t="s">
        <v>569</v>
      </c>
      <c r="ED1" s="72" t="s">
        <v>570</v>
      </c>
      <c r="EE1" s="72" t="s">
        <v>571</v>
      </c>
      <c r="EF1" s="72" t="s">
        <v>572</v>
      </c>
      <c r="EG1" s="72" t="s">
        <v>573</v>
      </c>
      <c r="EH1" s="72" t="s">
        <v>574</v>
      </c>
      <c r="EI1" s="72" t="s">
        <v>575</v>
      </c>
      <c r="EJ1" s="72" t="s">
        <v>576</v>
      </c>
      <c r="EK1" s="72" t="s">
        <v>577</v>
      </c>
      <c r="EL1" s="72" t="s">
        <v>578</v>
      </c>
      <c r="EM1" s="72" t="s">
        <v>579</v>
      </c>
      <c r="EN1" s="72" t="s">
        <v>580</v>
      </c>
      <c r="EO1" s="72" t="s">
        <v>581</v>
      </c>
      <c r="EP1" s="72" t="s">
        <v>582</v>
      </c>
      <c r="EQ1" s="72" t="s">
        <v>583</v>
      </c>
      <c r="ER1" s="72" t="s">
        <v>584</v>
      </c>
      <c r="ES1" s="72" t="s">
        <v>585</v>
      </c>
      <c r="ET1" s="72" t="s">
        <v>586</v>
      </c>
      <c r="EU1" s="72" t="s">
        <v>587</v>
      </c>
      <c r="EV1" s="475" t="s">
        <v>924</v>
      </c>
      <c r="EW1" s="311" t="s">
        <v>925</v>
      </c>
      <c r="EX1" s="475" t="s">
        <v>931</v>
      </c>
      <c r="EY1" s="311" t="s">
        <v>926</v>
      </c>
      <c r="EZ1" s="475" t="s">
        <v>932</v>
      </c>
      <c r="FA1" s="311" t="s">
        <v>927</v>
      </c>
      <c r="FB1" s="475" t="s">
        <v>933</v>
      </c>
      <c r="FC1" s="311" t="s">
        <v>928</v>
      </c>
      <c r="FD1" s="311" t="s">
        <v>929</v>
      </c>
      <c r="FE1" s="311" t="s">
        <v>930</v>
      </c>
      <c r="FF1" s="475" t="s">
        <v>934</v>
      </c>
      <c r="FG1" s="475" t="s">
        <v>935</v>
      </c>
      <c r="FH1" s="72" t="s">
        <v>936</v>
      </c>
      <c r="FI1" s="72" t="s">
        <v>937</v>
      </c>
      <c r="FJ1" s="72" t="s">
        <v>938</v>
      </c>
      <c r="FK1" s="72" t="s">
        <v>939</v>
      </c>
      <c r="FL1" s="72" t="s">
        <v>940</v>
      </c>
      <c r="FM1" s="72" t="s">
        <v>941</v>
      </c>
      <c r="FN1" s="72" t="s">
        <v>942</v>
      </c>
      <c r="FO1" s="72" t="s">
        <v>943</v>
      </c>
      <c r="FP1" s="72" t="s">
        <v>944</v>
      </c>
      <c r="FQ1" s="72" t="s">
        <v>945</v>
      </c>
      <c r="FR1" s="72" t="s">
        <v>946</v>
      </c>
      <c r="FS1" s="72" t="s">
        <v>588</v>
      </c>
      <c r="FT1" s="475" t="s">
        <v>959</v>
      </c>
      <c r="FU1" s="475" t="s">
        <v>960</v>
      </c>
      <c r="FV1" s="72" t="s">
        <v>589</v>
      </c>
      <c r="FW1" s="72" t="s">
        <v>370</v>
      </c>
      <c r="FX1" s="72" t="s">
        <v>461</v>
      </c>
      <c r="FY1" s="72" t="s">
        <v>462</v>
      </c>
      <c r="FZ1" s="72" t="s">
        <v>463</v>
      </c>
      <c r="GA1" s="72" t="s">
        <v>464</v>
      </c>
      <c r="GB1" s="72" t="s">
        <v>465</v>
      </c>
      <c r="GC1" s="72" t="s">
        <v>371</v>
      </c>
      <c r="GD1" s="72" t="s">
        <v>372</v>
      </c>
      <c r="GE1" s="72" t="s">
        <v>373</v>
      </c>
      <c r="GF1" s="475" t="s">
        <v>961</v>
      </c>
      <c r="GG1" s="72" t="s">
        <v>374</v>
      </c>
      <c r="GH1" s="72" t="s">
        <v>375</v>
      </c>
      <c r="GI1" s="72" t="s">
        <v>590</v>
      </c>
      <c r="GJ1" s="72" t="s">
        <v>376</v>
      </c>
      <c r="GK1" s="72" t="s">
        <v>377</v>
      </c>
      <c r="GL1" s="475" t="s">
        <v>965</v>
      </c>
      <c r="GM1" s="72" t="s">
        <v>458</v>
      </c>
      <c r="GN1" s="72" t="s">
        <v>459</v>
      </c>
      <c r="GO1" s="72" t="s">
        <v>460</v>
      </c>
      <c r="GP1" s="72" t="s">
        <v>962</v>
      </c>
      <c r="GQ1" s="72" t="s">
        <v>963</v>
      </c>
      <c r="GR1" s="72" t="s">
        <v>964</v>
      </c>
    </row>
    <row r="2" spans="1:200" x14ac:dyDescent="0.25">
      <c r="A2" s="72" t="str">
        <f>'Dateneingabe Mobilitäten'!C1</f>
        <v>&lt;-- Bitte Erasmus Code auswählen --&gt;</v>
      </c>
      <c r="B2" s="72">
        <f>'Dateneingabe Mobilitäten'!G4</f>
        <v>0</v>
      </c>
      <c r="C2" s="72">
        <f>'Dateneingabe Mobilitäten'!H4</f>
        <v>0</v>
      </c>
      <c r="D2" s="72">
        <f>'Dateneingabe Mobilitäten'!G5</f>
        <v>0</v>
      </c>
      <c r="E2" s="72">
        <f>'Dateneingabe Mobilitäten'!H5</f>
        <v>0</v>
      </c>
      <c r="F2" s="72">
        <f>'Dateneingabe Mobilitäten'!G6</f>
        <v>0</v>
      </c>
      <c r="G2" s="72">
        <f>'Dateneingabe Mobilitäten'!H6</f>
        <v>0</v>
      </c>
      <c r="H2" s="305">
        <f>'Dateneingabe Mobilitäten'!G7</f>
        <v>0</v>
      </c>
      <c r="I2" s="305">
        <f>'Dateneingabe Mobilitäten'!H7</f>
        <v>0</v>
      </c>
      <c r="J2" s="305">
        <f>'Dateneingabe Mobilitäten'!N7</f>
        <v>0</v>
      </c>
      <c r="K2" s="305">
        <f>'Dateneingabe Mobilitäten'!O7</f>
        <v>0</v>
      </c>
      <c r="L2" s="305">
        <f>'Dateneingabe Mobilitäten'!P7</f>
        <v>0</v>
      </c>
      <c r="M2" s="305">
        <f>'Dateneingabe Mobilitäten'!Q7</f>
        <v>0</v>
      </c>
      <c r="N2" s="305">
        <f>'Dateneingabe Mobilitäten'!R7</f>
        <v>0</v>
      </c>
      <c r="O2" s="305">
        <f>'Dateneingabe Mobilitäten'!S7</f>
        <v>0</v>
      </c>
      <c r="P2" s="305">
        <f>'Dateneingabe Mobilitäten'!T7</f>
        <v>0</v>
      </c>
      <c r="Q2" s="305">
        <f>'Dateneingabe Mobilitäten'!U7</f>
        <v>0</v>
      </c>
      <c r="R2" s="305">
        <f>'Dateneingabe Mobilitäten'!V7</f>
        <v>0</v>
      </c>
      <c r="S2" s="306">
        <f>'Dateneingabe Mobilitäten'!W7</f>
        <v>0</v>
      </c>
      <c r="T2" s="305">
        <f>'Dateneingabe Mobilitäten'!X7</f>
        <v>0</v>
      </c>
      <c r="U2" s="305">
        <f>'Dateneingabe Mobilitäten'!Y7</f>
        <v>0</v>
      </c>
      <c r="V2" s="305">
        <f>'Dateneingabe Mobilitäten'!Z7</f>
        <v>0</v>
      </c>
      <c r="W2" s="305">
        <f>'Dateneingabe Mobilitäten'!Z7</f>
        <v>0</v>
      </c>
      <c r="X2" s="72">
        <f>'Dateneingabe Mobilitäten'!G9</f>
        <v>0</v>
      </c>
      <c r="Y2" s="72">
        <f>'Dateneingabe Mobilitäten'!H9</f>
        <v>0</v>
      </c>
      <c r="Z2" s="72">
        <f>'Dateneingabe Mobilitäten'!G10</f>
        <v>0</v>
      </c>
      <c r="AA2" s="72">
        <f>'Dateneingabe Mobilitäten'!H10</f>
        <v>0</v>
      </c>
      <c r="AB2" s="72">
        <f>'Dateneingabe Mobilitäten'!G11</f>
        <v>0</v>
      </c>
      <c r="AC2" s="72">
        <f>'Dateneingabe Mobilitäten'!H11</f>
        <v>0</v>
      </c>
      <c r="AD2" s="305">
        <f>'Dateneingabe Mobilitäten'!G12</f>
        <v>0</v>
      </c>
      <c r="AE2" s="305">
        <f>'Dateneingabe Mobilitäten'!H12</f>
        <v>0</v>
      </c>
      <c r="AF2" s="305">
        <f>'Dateneingabe Mobilitäten'!N12</f>
        <v>0</v>
      </c>
      <c r="AG2" s="305">
        <f>'Dateneingabe Mobilitäten'!O12</f>
        <v>0</v>
      </c>
      <c r="AH2" s="305">
        <f>'Dateneingabe Mobilitäten'!P12</f>
        <v>0</v>
      </c>
      <c r="AI2" s="305">
        <f>'Dateneingabe Mobilitäten'!Q12</f>
        <v>0</v>
      </c>
      <c r="AJ2" s="305">
        <f>'Dateneingabe Mobilitäten'!R12</f>
        <v>0</v>
      </c>
      <c r="AK2" s="305">
        <f>'Dateneingabe Mobilitäten'!S12</f>
        <v>0</v>
      </c>
      <c r="AL2" s="305">
        <f>'Dateneingabe Mobilitäten'!T12</f>
        <v>0</v>
      </c>
      <c r="AM2" s="305">
        <f>'Dateneingabe Mobilitäten'!U12</f>
        <v>0</v>
      </c>
      <c r="AN2" s="305">
        <f>'Dateneingabe Mobilitäten'!V12</f>
        <v>0</v>
      </c>
      <c r="AO2" s="306">
        <f>'Dateneingabe Mobilitäten'!W12</f>
        <v>0</v>
      </c>
      <c r="AP2" s="305">
        <f>'Dateneingabe Mobilitäten'!X12</f>
        <v>0</v>
      </c>
      <c r="AQ2" s="305">
        <f>'Dateneingabe Mobilitäten'!Y12</f>
        <v>0</v>
      </c>
      <c r="AR2" s="305">
        <f>'Dateneingabe Mobilitäten'!Z12</f>
        <v>0</v>
      </c>
      <c r="AS2" s="305"/>
      <c r="AT2" s="72">
        <f>'Dateneingabe Mobilitäten'!G19</f>
        <v>0</v>
      </c>
      <c r="AU2" s="72">
        <f>'Dateneingabe Mobilitäten'!H19</f>
        <v>0</v>
      </c>
      <c r="AV2" s="72">
        <f>'Dateneingabe Mobilitäten'!G20</f>
        <v>0</v>
      </c>
      <c r="AW2" s="72">
        <f>'Dateneingabe Mobilitäten'!H20</f>
        <v>0</v>
      </c>
      <c r="AX2" s="72">
        <f>'Dateneingabe Mobilitäten'!G21</f>
        <v>0</v>
      </c>
      <c r="AY2" s="72">
        <f>'Dateneingabe Mobilitäten'!H21</f>
        <v>0</v>
      </c>
      <c r="AZ2" s="305">
        <f>'Dateneingabe Mobilitäten'!G22</f>
        <v>0</v>
      </c>
      <c r="BA2" s="305">
        <f>'Dateneingabe Mobilitäten'!H22</f>
        <v>0</v>
      </c>
      <c r="BB2" s="305">
        <f>'Dateneingabe Mobilitäten'!N22</f>
        <v>0</v>
      </c>
      <c r="BC2" s="305">
        <f>'Dateneingabe Mobilitäten'!O22</f>
        <v>0</v>
      </c>
      <c r="BD2" s="305">
        <f>'Dateneingabe Mobilitäten'!P22</f>
        <v>0</v>
      </c>
      <c r="BE2" s="305">
        <f>'Dateneingabe Mobilitäten'!Q22</f>
        <v>0</v>
      </c>
      <c r="BF2" s="305">
        <f>'Dateneingabe Mobilitäten'!R22</f>
        <v>0</v>
      </c>
      <c r="BG2" s="305">
        <f>'Dateneingabe Mobilitäten'!S22</f>
        <v>0</v>
      </c>
      <c r="BH2" s="305">
        <f>'Dateneingabe Mobilitäten'!T22</f>
        <v>0</v>
      </c>
      <c r="BI2" s="305">
        <f>'Dateneingabe Mobilitäten'!U22</f>
        <v>0</v>
      </c>
      <c r="BJ2" s="305">
        <f>'Dateneingabe Mobilitäten'!V22</f>
        <v>0</v>
      </c>
      <c r="BK2" s="306">
        <f>'Dateneingabe Mobilitäten'!W22</f>
        <v>0</v>
      </c>
      <c r="BL2" s="305">
        <f>'Dateneingabe Mobilitäten'!X22</f>
        <v>0</v>
      </c>
      <c r="BM2" s="305">
        <f>'Dateneingabe Mobilitäten'!Y22</f>
        <v>0</v>
      </c>
      <c r="BN2" s="305">
        <f>'Dateneingabe Mobilitäten'!Z22</f>
        <v>0</v>
      </c>
      <c r="BO2" s="305">
        <f>'Dateneingabe Mobilitäten'!AA22</f>
        <v>0</v>
      </c>
      <c r="BP2" s="72">
        <f>'Dateneingabe Mobilitäten'!G24</f>
        <v>0</v>
      </c>
      <c r="BQ2" s="72">
        <f>'Dateneingabe Mobilitäten'!H24</f>
        <v>0</v>
      </c>
      <c r="BR2" s="72">
        <f>'Dateneingabe Mobilitäten'!G25</f>
        <v>0</v>
      </c>
      <c r="BS2" s="72">
        <f>'Dateneingabe Mobilitäten'!H25</f>
        <v>0</v>
      </c>
      <c r="BT2" s="72">
        <f>'Dateneingabe Mobilitäten'!G26</f>
        <v>0</v>
      </c>
      <c r="BU2" s="72">
        <f>'Dateneingabe Mobilitäten'!H26</f>
        <v>0</v>
      </c>
      <c r="BV2" s="305">
        <f>'Dateneingabe Mobilitäten'!G27</f>
        <v>0</v>
      </c>
      <c r="BW2" s="305">
        <f>'Dateneingabe Mobilitäten'!H27</f>
        <v>0</v>
      </c>
      <c r="BX2" s="305">
        <f>'Dateneingabe Mobilitäten'!N27</f>
        <v>0</v>
      </c>
      <c r="BY2" s="305">
        <f>'Dateneingabe Mobilitäten'!O27</f>
        <v>0</v>
      </c>
      <c r="BZ2" s="305">
        <f>'Dateneingabe Mobilitäten'!P27</f>
        <v>0</v>
      </c>
      <c r="CA2" s="305">
        <f>'Dateneingabe Mobilitäten'!Q27</f>
        <v>0</v>
      </c>
      <c r="CB2" s="305">
        <f>'Dateneingabe Mobilitäten'!R27</f>
        <v>0</v>
      </c>
      <c r="CC2" s="305">
        <f>'Dateneingabe Mobilitäten'!S27</f>
        <v>0</v>
      </c>
      <c r="CD2" s="305">
        <f>'Dateneingabe Mobilitäten'!T27</f>
        <v>0</v>
      </c>
      <c r="CE2" s="305">
        <f>'Dateneingabe Mobilitäten'!U27</f>
        <v>0</v>
      </c>
      <c r="CF2" s="305">
        <f>'Dateneingabe Mobilitäten'!V27</f>
        <v>0</v>
      </c>
      <c r="CG2" s="306">
        <f>'Dateneingabe Mobilitäten'!W27</f>
        <v>0</v>
      </c>
      <c r="CH2" s="305">
        <f>'Dateneingabe Mobilitäten'!X27</f>
        <v>0</v>
      </c>
      <c r="CI2" s="305">
        <f>'Dateneingabe Mobilitäten'!Y27</f>
        <v>0</v>
      </c>
      <c r="CJ2" s="305">
        <f>'Dateneingabe Mobilitäten'!Z27</f>
        <v>0</v>
      </c>
      <c r="CK2" s="305">
        <f>'Dateneingabe Mobilitäten'!AA27</f>
        <v>0</v>
      </c>
      <c r="CL2" s="72">
        <f>'Dateneingabe Mobilitäten'!G34</f>
        <v>0</v>
      </c>
      <c r="CM2" s="305">
        <f>'Dateneingabe Mobilitäten'!G35</f>
        <v>0</v>
      </c>
      <c r="CN2" s="72">
        <f>'Dateneingabe Mobilitäten'!G37</f>
        <v>0</v>
      </c>
      <c r="CO2" s="305">
        <f>'Dateneingabe Mobilitäten'!G38</f>
        <v>0</v>
      </c>
      <c r="CP2" s="476">
        <f>'Dateneingabe Mobilitäten'!H37</f>
        <v>0</v>
      </c>
      <c r="CQ2" s="305">
        <f>'Dateneingabe Mobilitäten'!H38</f>
        <v>0</v>
      </c>
      <c r="CR2" s="305">
        <f>'Dateneingabe Mobilitäten'!N38</f>
        <v>0</v>
      </c>
      <c r="CS2" s="305">
        <f>'Dateneingabe Mobilitäten'!P38</f>
        <v>0</v>
      </c>
      <c r="CT2" s="305">
        <f>'Dateneingabe Mobilitäten'!R38</f>
        <v>0</v>
      </c>
      <c r="CU2" s="305">
        <f>'Dateneingabe Mobilitäten'!T38</f>
        <v>0</v>
      </c>
      <c r="CV2" s="305">
        <f>'Dateneingabe Mobilitäten'!X38</f>
        <v>0</v>
      </c>
      <c r="CW2" s="305">
        <f>'Dateneingabe Mobilitäten'!Z38</f>
        <v>0</v>
      </c>
      <c r="CX2" s="72">
        <f>'Dateneingabe Mobilitäten'!G45</f>
        <v>0</v>
      </c>
      <c r="CY2" s="72">
        <f>'Dateneingabe Mobilitäten'!H45</f>
        <v>0</v>
      </c>
      <c r="CZ2" s="307">
        <f>'Dateneingabe Mobilitäten'!I49</f>
        <v>0</v>
      </c>
      <c r="DA2" s="307">
        <f>'Dateneingabe Mobilitäten'!I50</f>
        <v>0</v>
      </c>
      <c r="DB2" s="307">
        <f>'Dateneingabe Mobilitäten'!I51</f>
        <v>0</v>
      </c>
      <c r="DC2" s="307">
        <f>'Dateneingabe Mobilitäten'!N47</f>
        <v>0</v>
      </c>
      <c r="DD2" s="305">
        <f>'Dateneingabe Mobilitäten'!O52</f>
        <v>0</v>
      </c>
      <c r="DE2" s="305">
        <f>'Dateneingabe Mobilitäten'!P47</f>
        <v>0</v>
      </c>
      <c r="DF2" s="305">
        <f>'Dateneingabe Mobilitäten'!Q52</f>
        <v>0</v>
      </c>
      <c r="DG2" s="305">
        <f>'Dateneingabe Mobilitäten'!R47</f>
        <v>0</v>
      </c>
      <c r="DH2" s="305">
        <f>'Dateneingabe Mobilitäten'!S52</f>
        <v>0</v>
      </c>
      <c r="DI2" s="305">
        <f>'Dateneingabe Mobilitäten'!T47</f>
        <v>0</v>
      </c>
      <c r="DJ2" s="305">
        <f>'Dateneingabe Mobilitäten'!T47</f>
        <v>0</v>
      </c>
      <c r="DK2" s="305">
        <f>'Dateneingabe Mobilitäten'!V52</f>
        <v>0</v>
      </c>
      <c r="DL2" s="305">
        <f>'Dateneingabe Mobilitäten'!W52</f>
        <v>0</v>
      </c>
      <c r="DM2" s="305">
        <f>'Dateneingabe Mobilitäten'!Z47</f>
        <v>0</v>
      </c>
      <c r="DN2" s="305">
        <f>'Dateneingabe Mobilitäten'!AA52</f>
        <v>0</v>
      </c>
      <c r="DO2" s="305">
        <f>'Dateneingabe Mobilitäten'!G54</f>
        <v>0</v>
      </c>
      <c r="DP2" s="72">
        <f>'Dateneingabe Mobilitäten'!H54</f>
        <v>0</v>
      </c>
      <c r="DQ2" s="305">
        <f>'Dateneingabe Mobilitäten'!I57</f>
        <v>0</v>
      </c>
      <c r="DR2" s="305">
        <f>'Dateneingabe Mobilitäten'!N56</f>
        <v>0</v>
      </c>
      <c r="DS2" s="305">
        <f>'Dateneingabe Mobilitäten'!P56</f>
        <v>0</v>
      </c>
      <c r="DT2" s="305">
        <f>'Dateneingabe Mobilitäten'!R56</f>
        <v>0</v>
      </c>
      <c r="DU2" s="305">
        <f>'Dateneingabe Mobilitäten'!T56</f>
        <v>0</v>
      </c>
      <c r="DV2" s="305">
        <f>'Dateneingabe Mobilitäten'!X56</f>
        <v>0</v>
      </c>
      <c r="DW2" s="305">
        <f>'Dateneingabe Mobilitäten'!Z56</f>
        <v>0</v>
      </c>
      <c r="DX2" s="72">
        <f>'Dateneingabe Mobilitäten'!G63</f>
        <v>0</v>
      </c>
      <c r="DY2" s="72">
        <f>'Dateneingabe Mobilitäten'!H63</f>
        <v>0</v>
      </c>
      <c r="DZ2" s="305">
        <f>'Dateneingabe Mobilitäten'!G65</f>
        <v>0</v>
      </c>
      <c r="EA2" s="305">
        <f>'Dateneingabe Mobilitäten'!H65</f>
        <v>0</v>
      </c>
      <c r="EB2" s="305">
        <f>'Dateneingabe Mobilitäten'!G67</f>
        <v>0</v>
      </c>
      <c r="EC2" s="305">
        <f>'Dateneingabe Mobilitäten'!H67</f>
        <v>0</v>
      </c>
      <c r="ED2" s="305">
        <f>'Dateneingabe Mobilitäten'!G69</f>
        <v>0</v>
      </c>
      <c r="EE2" s="305">
        <f>'Dateneingabe Mobilitäten'!H69</f>
        <v>0</v>
      </c>
      <c r="EF2" s="72">
        <f>'Dateneingabe Mobilitäten'!G71</f>
        <v>0</v>
      </c>
      <c r="EG2" s="72">
        <f>'Dateneingabe Mobilitäten'!H71</f>
        <v>0</v>
      </c>
      <c r="EH2" s="305">
        <f>'Dateneingabe Mobilitäten'!G73</f>
        <v>0</v>
      </c>
      <c r="EI2" s="305">
        <f>'Dateneingabe Mobilitäten'!H73</f>
        <v>0</v>
      </c>
      <c r="EJ2" s="72">
        <f>'Dateneingabe Mobilitäten'!G75</f>
        <v>0</v>
      </c>
      <c r="EK2" s="72">
        <f>'Dateneingabe Mobilitäten'!H75</f>
        <v>0</v>
      </c>
      <c r="EL2" s="305">
        <f>'Dateneingabe Mobilitäten'!G77</f>
        <v>0</v>
      </c>
      <c r="EM2" s="305">
        <f>'Dateneingabe Mobilitäten'!H77</f>
        <v>0</v>
      </c>
      <c r="EN2" s="72">
        <f>'Dateneingabe Mobilitäten'!G79</f>
        <v>0</v>
      </c>
      <c r="EO2" s="72">
        <f>'Dateneingabe Mobilitäten'!H79</f>
        <v>0</v>
      </c>
      <c r="EP2" s="305">
        <f>'Dateneingabe Mobilitäten'!G81</f>
        <v>0</v>
      </c>
      <c r="EQ2" s="305">
        <f>'Dateneingabe Mobilitäten'!H81</f>
        <v>0</v>
      </c>
      <c r="ER2" s="305">
        <f>'Dateneingabe Mobilitäten'!G83</f>
        <v>0</v>
      </c>
      <c r="ES2" s="305">
        <f>'Dateneingabe Mobilitäten'!H83</f>
        <v>0</v>
      </c>
      <c r="ET2" s="305">
        <f>'Dateneingabe Mobilitäten'!G85</f>
        <v>0</v>
      </c>
      <c r="EU2" s="305">
        <f>'Dateneingabe Mobilitäten'!H85</f>
        <v>0</v>
      </c>
      <c r="EV2" s="305">
        <f>'Dateneingabe Mobilitäten'!N93</f>
        <v>0</v>
      </c>
      <c r="EW2" s="305">
        <f>'Dateneingabe Mobilitäten'!O93</f>
        <v>0</v>
      </c>
      <c r="EX2" s="305">
        <f>'Dateneingabe Mobilitäten'!P93</f>
        <v>0</v>
      </c>
      <c r="EY2" s="305">
        <f>'Dateneingabe Mobilitäten'!Q93</f>
        <v>0</v>
      </c>
      <c r="EZ2" s="305">
        <f>'Dateneingabe Mobilitäten'!R93</f>
        <v>0</v>
      </c>
      <c r="FA2" s="305">
        <f>'Dateneingabe Mobilitäten'!S93</f>
        <v>0</v>
      </c>
      <c r="FB2" s="305">
        <f>'Dateneingabe Mobilitäten'!T93</f>
        <v>0</v>
      </c>
      <c r="FC2" s="305">
        <f>'Dateneingabe Mobilitäten'!U93</f>
        <v>0</v>
      </c>
      <c r="FD2" s="305">
        <f>'Dateneingabe Mobilitäten'!V93</f>
        <v>0</v>
      </c>
      <c r="FE2" s="305">
        <f>'Dateneingabe Mobilitäten'!W93</f>
        <v>0</v>
      </c>
      <c r="FF2" s="305">
        <f>'Dateneingabe Mobilitäten'!X93</f>
        <v>0</v>
      </c>
      <c r="FG2" s="305">
        <f>'Dateneingabe Mobilitäten'!Y93</f>
        <v>0</v>
      </c>
      <c r="FH2" s="305">
        <f>'Ausdruck 1'!K15</f>
        <v>0</v>
      </c>
      <c r="FI2" s="305">
        <f>'Ausdruck 1'!J15</f>
        <v>0</v>
      </c>
      <c r="FJ2" s="305">
        <f>'Ausdruck 1'!K16</f>
        <v>0</v>
      </c>
      <c r="FK2" s="305">
        <f>'Ausdruck 1'!J16</f>
        <v>0</v>
      </c>
      <c r="FL2" s="305">
        <f>'Ausdruck 1'!K17</f>
        <v>0</v>
      </c>
      <c r="FM2" s="305">
        <f>'Ausdruck 1'!J17</f>
        <v>0</v>
      </c>
      <c r="FN2" s="305">
        <f>'Ausdruck 1'!K18</f>
        <v>0</v>
      </c>
      <c r="FO2" s="305">
        <f>'Ausdruck 1'!J18</f>
        <v>0</v>
      </c>
      <c r="FP2" s="305">
        <f>'Ausdruck 1'!J21</f>
        <v>0</v>
      </c>
      <c r="FQ2" s="305">
        <f>'Ausdruck 1'!K23</f>
        <v>0</v>
      </c>
      <c r="FR2" s="305">
        <f>'Ausdruck 1'!J23</f>
        <v>0</v>
      </c>
      <c r="FS2" s="305">
        <f>'Ausdruck 1'!E50</f>
        <v>0</v>
      </c>
      <c r="FT2" s="305">
        <f>'Ausdruck 1'!K35</f>
        <v>0</v>
      </c>
      <c r="FU2" s="305">
        <f>'Dateneingabe zusätzliche BIPs'!D29</f>
        <v>0</v>
      </c>
      <c r="FV2" s="305">
        <f>'Ausdruck 1'!E37</f>
        <v>0</v>
      </c>
      <c r="GB2" s="72">
        <f>'Ausdruck 3'!L38</f>
        <v>0</v>
      </c>
      <c r="GC2" s="305">
        <f>'Ausdruck 3'!L47</f>
        <v>0</v>
      </c>
      <c r="GD2" s="305">
        <f>'Ausdruck 3'!L48</f>
        <v>0</v>
      </c>
      <c r="GE2" s="305">
        <f>'Ausdruck 3'!L49</f>
        <v>0</v>
      </c>
      <c r="GF2" s="305">
        <f>'Ausdruck 3'!L50</f>
        <v>0</v>
      </c>
      <c r="GG2" s="305">
        <f>'Ausdruck 3'!L51</f>
        <v>0</v>
      </c>
      <c r="GH2" s="308" t="str">
        <f>'Ausdruck 3'!L53</f>
        <v>keine Vorauszahlung</v>
      </c>
      <c r="GI2" s="313">
        <f>'Ausdruck 3'!L55</f>
        <v>0</v>
      </c>
      <c r="GJ2" s="309">
        <f>'Ausdruck 1'!B75</f>
        <v>0</v>
      </c>
      <c r="GK2" s="309">
        <f>'Ausdruck 1'!I75</f>
        <v>0</v>
      </c>
      <c r="GL2" s="72">
        <f>'Ausdruck 3'!C61</f>
        <v>0</v>
      </c>
      <c r="GM2" s="309">
        <f>'Ausdruck 3'!B63</f>
        <v>0</v>
      </c>
      <c r="GN2" s="309">
        <f>'Ausdruck 3'!B77</f>
        <v>0</v>
      </c>
      <c r="GO2" s="309">
        <f>'Ausdruck 3'!F77</f>
        <v>0</v>
      </c>
      <c r="GP2" s="72">
        <f>'Dateneingabe Mobilitäten'!N64</f>
        <v>0</v>
      </c>
      <c r="GQ2" s="72">
        <f>'Dateneingabe Mobilitäten'!N98</f>
        <v>0</v>
      </c>
      <c r="GR2" s="72">
        <f>'Dateneingabe Mobilitäten'!N103</f>
        <v>0</v>
      </c>
    </row>
    <row r="3" spans="1:200" x14ac:dyDescent="0.25">
      <c r="FR3" s="310"/>
      <c r="FS3" s="310"/>
      <c r="FT3" s="310"/>
      <c r="FU3" s="310"/>
    </row>
    <row r="4" spans="1:200" x14ac:dyDescent="0.25">
      <c r="A4" s="72">
        <v>1</v>
      </c>
      <c r="B4" s="72">
        <v>2</v>
      </c>
      <c r="C4" s="72">
        <v>3</v>
      </c>
      <c r="D4" s="72">
        <v>4</v>
      </c>
      <c r="E4" s="72">
        <v>5</v>
      </c>
      <c r="F4" s="72">
        <v>6</v>
      </c>
      <c r="G4" s="72">
        <v>7</v>
      </c>
      <c r="H4" s="72">
        <v>8</v>
      </c>
      <c r="I4" s="72">
        <v>9</v>
      </c>
      <c r="J4" s="72">
        <v>10</v>
      </c>
      <c r="K4" s="72">
        <v>11</v>
      </c>
      <c r="L4" s="72">
        <v>12</v>
      </c>
      <c r="M4" s="72">
        <v>13</v>
      </c>
      <c r="N4" s="72">
        <v>14</v>
      </c>
      <c r="O4" s="72">
        <v>15</v>
      </c>
      <c r="P4" s="72">
        <v>16</v>
      </c>
      <c r="Q4" s="72">
        <v>17</v>
      </c>
      <c r="R4" s="72">
        <v>18</v>
      </c>
      <c r="S4" s="72">
        <v>19</v>
      </c>
      <c r="T4" s="72">
        <v>20</v>
      </c>
      <c r="U4" s="72">
        <v>21</v>
      </c>
      <c r="V4" s="72">
        <v>22</v>
      </c>
      <c r="W4" s="72">
        <v>23</v>
      </c>
      <c r="X4" s="72">
        <v>24</v>
      </c>
      <c r="Y4" s="72">
        <v>25</v>
      </c>
      <c r="Z4" s="72">
        <v>26</v>
      </c>
      <c r="AA4" s="72">
        <v>27</v>
      </c>
      <c r="AB4" s="72">
        <v>28</v>
      </c>
      <c r="AC4" s="72">
        <v>29</v>
      </c>
      <c r="AD4" s="72">
        <v>30</v>
      </c>
      <c r="AE4" s="72">
        <v>31</v>
      </c>
      <c r="AF4" s="72">
        <v>32</v>
      </c>
      <c r="AG4" s="72">
        <v>33</v>
      </c>
      <c r="AH4" s="72">
        <v>34</v>
      </c>
      <c r="AI4" s="72">
        <v>35</v>
      </c>
      <c r="AJ4" s="72">
        <v>36</v>
      </c>
      <c r="AK4" s="72">
        <v>37</v>
      </c>
      <c r="AL4" s="72">
        <v>38</v>
      </c>
      <c r="AM4" s="72">
        <v>39</v>
      </c>
      <c r="AN4" s="72">
        <v>40</v>
      </c>
      <c r="AO4" s="72">
        <v>41</v>
      </c>
      <c r="AP4" s="72">
        <v>42</v>
      </c>
      <c r="AQ4" s="72">
        <v>43</v>
      </c>
      <c r="AR4" s="72">
        <v>44</v>
      </c>
      <c r="AS4" s="72">
        <v>45</v>
      </c>
      <c r="AT4" s="72">
        <v>46</v>
      </c>
      <c r="AU4" s="72">
        <v>47</v>
      </c>
      <c r="AV4" s="72">
        <v>48</v>
      </c>
      <c r="AW4" s="72">
        <v>49</v>
      </c>
      <c r="AX4" s="72">
        <v>50</v>
      </c>
      <c r="AY4" s="72">
        <v>51</v>
      </c>
      <c r="AZ4" s="72">
        <v>52</v>
      </c>
      <c r="BA4" s="72">
        <v>53</v>
      </c>
      <c r="BB4" s="72">
        <v>54</v>
      </c>
      <c r="BC4" s="72">
        <v>55</v>
      </c>
      <c r="BD4" s="72">
        <v>56</v>
      </c>
      <c r="BE4" s="72">
        <v>57</v>
      </c>
      <c r="BF4" s="72">
        <v>58</v>
      </c>
      <c r="BG4" s="72">
        <v>59</v>
      </c>
      <c r="BH4" s="72">
        <v>60</v>
      </c>
      <c r="BI4" s="72">
        <v>61</v>
      </c>
      <c r="BJ4" s="72">
        <v>62</v>
      </c>
      <c r="BK4" s="72">
        <v>63</v>
      </c>
      <c r="BL4" s="72">
        <v>64</v>
      </c>
      <c r="BM4" s="72">
        <v>65</v>
      </c>
      <c r="BN4" s="72">
        <v>66</v>
      </c>
      <c r="BO4" s="72">
        <v>67</v>
      </c>
      <c r="BP4" s="72">
        <v>68</v>
      </c>
      <c r="BQ4" s="72">
        <v>69</v>
      </c>
      <c r="BR4" s="72">
        <v>70</v>
      </c>
      <c r="BS4" s="72">
        <v>71</v>
      </c>
      <c r="BT4" s="72">
        <v>72</v>
      </c>
      <c r="BU4" s="72">
        <v>73</v>
      </c>
      <c r="BV4" s="72">
        <v>74</v>
      </c>
      <c r="BW4" s="72">
        <v>75</v>
      </c>
      <c r="BX4" s="72">
        <v>76</v>
      </c>
      <c r="BY4" s="72">
        <v>77</v>
      </c>
      <c r="BZ4" s="72">
        <v>78</v>
      </c>
      <c r="CA4" s="72">
        <v>79</v>
      </c>
      <c r="CB4" s="72">
        <v>80</v>
      </c>
      <c r="CC4" s="72">
        <v>81</v>
      </c>
      <c r="CD4" s="72">
        <v>82</v>
      </c>
      <c r="CE4" s="72">
        <v>83</v>
      </c>
      <c r="CF4" s="72">
        <v>84</v>
      </c>
      <c r="CG4" s="72">
        <v>85</v>
      </c>
      <c r="CH4" s="72">
        <v>86</v>
      </c>
      <c r="CI4" s="72">
        <v>87</v>
      </c>
      <c r="CJ4" s="72">
        <v>88</v>
      </c>
      <c r="CK4" s="72">
        <v>89</v>
      </c>
      <c r="CL4" s="72">
        <v>90</v>
      </c>
      <c r="CM4" s="72">
        <v>91</v>
      </c>
      <c r="CN4" s="72">
        <v>92</v>
      </c>
      <c r="CO4" s="72">
        <v>93</v>
      </c>
      <c r="CP4" s="72">
        <v>94</v>
      </c>
      <c r="CQ4" s="72">
        <v>95</v>
      </c>
      <c r="CR4" s="72">
        <v>96</v>
      </c>
      <c r="CS4" s="72">
        <v>97</v>
      </c>
      <c r="CT4" s="72">
        <v>98</v>
      </c>
      <c r="CU4" s="72">
        <v>99</v>
      </c>
      <c r="CV4" s="72">
        <v>100</v>
      </c>
      <c r="CW4" s="72">
        <v>101</v>
      </c>
      <c r="CX4" s="72">
        <v>102</v>
      </c>
      <c r="CY4" s="72">
        <v>103</v>
      </c>
      <c r="CZ4" s="72">
        <v>104</v>
      </c>
      <c r="DA4" s="72">
        <v>105</v>
      </c>
      <c r="DB4" s="72">
        <v>106</v>
      </c>
      <c r="DC4" s="72">
        <v>107</v>
      </c>
      <c r="DD4" s="72">
        <v>108</v>
      </c>
      <c r="DE4" s="72">
        <v>109</v>
      </c>
      <c r="DF4" s="72">
        <v>110</v>
      </c>
      <c r="DG4" s="72">
        <v>111</v>
      </c>
      <c r="DH4" s="72">
        <v>112</v>
      </c>
      <c r="DI4" s="72">
        <v>113</v>
      </c>
      <c r="DJ4" s="72">
        <v>114</v>
      </c>
      <c r="DK4" s="72">
        <v>115</v>
      </c>
      <c r="DL4" s="72">
        <v>116</v>
      </c>
      <c r="DM4" s="72">
        <v>117</v>
      </c>
      <c r="DN4" s="72">
        <v>118</v>
      </c>
      <c r="DO4" s="72">
        <v>119</v>
      </c>
      <c r="DP4" s="72">
        <v>120</v>
      </c>
      <c r="DQ4" s="72">
        <v>121</v>
      </c>
      <c r="DR4" s="72">
        <v>122</v>
      </c>
      <c r="DS4" s="72">
        <v>123</v>
      </c>
      <c r="DT4" s="72">
        <v>124</v>
      </c>
      <c r="DU4" s="72">
        <v>125</v>
      </c>
      <c r="DV4" s="72">
        <v>126</v>
      </c>
      <c r="DW4" s="72">
        <v>127</v>
      </c>
      <c r="DX4" s="72">
        <v>128</v>
      </c>
      <c r="DY4" s="72">
        <v>129</v>
      </c>
      <c r="DZ4" s="72">
        <v>130</v>
      </c>
      <c r="EA4" s="72">
        <v>131</v>
      </c>
      <c r="EB4" s="72">
        <v>132</v>
      </c>
      <c r="EC4" s="72">
        <v>133</v>
      </c>
      <c r="ED4" s="72">
        <v>134</v>
      </c>
      <c r="EE4" s="72">
        <v>135</v>
      </c>
      <c r="EF4" s="72">
        <v>136</v>
      </c>
      <c r="EG4" s="72">
        <v>137</v>
      </c>
      <c r="EH4" s="72">
        <v>138</v>
      </c>
      <c r="EI4" s="72">
        <v>139</v>
      </c>
      <c r="EJ4" s="72">
        <v>140</v>
      </c>
      <c r="EK4" s="72">
        <v>141</v>
      </c>
      <c r="EL4" s="72">
        <v>142</v>
      </c>
      <c r="EM4" s="72">
        <v>143</v>
      </c>
      <c r="EN4" s="72">
        <v>144</v>
      </c>
      <c r="EO4" s="72">
        <v>145</v>
      </c>
      <c r="EP4" s="72">
        <v>146</v>
      </c>
      <c r="EQ4" s="72">
        <v>147</v>
      </c>
      <c r="ER4" s="72">
        <v>148</v>
      </c>
      <c r="ES4" s="72">
        <v>149</v>
      </c>
      <c r="ET4" s="72">
        <v>150</v>
      </c>
      <c r="EU4" s="72">
        <v>151</v>
      </c>
      <c r="EV4" s="72">
        <v>152</v>
      </c>
      <c r="EW4" s="72">
        <v>153</v>
      </c>
      <c r="EX4" s="72">
        <v>154</v>
      </c>
      <c r="EY4" s="72">
        <v>155</v>
      </c>
      <c r="EZ4" s="72">
        <v>156</v>
      </c>
      <c r="FA4" s="72">
        <v>157</v>
      </c>
      <c r="FB4" s="72">
        <v>158</v>
      </c>
      <c r="FC4" s="72">
        <v>159</v>
      </c>
      <c r="FD4" s="72">
        <v>160</v>
      </c>
      <c r="FE4" s="72">
        <v>161</v>
      </c>
      <c r="FF4" s="72">
        <v>162</v>
      </c>
      <c r="FG4" s="72">
        <v>163</v>
      </c>
      <c r="FH4" s="72">
        <v>164</v>
      </c>
      <c r="FI4" s="72">
        <v>165</v>
      </c>
      <c r="FJ4" s="72">
        <v>166</v>
      </c>
      <c r="FK4" s="72">
        <v>167</v>
      </c>
      <c r="FL4" s="72">
        <v>168</v>
      </c>
      <c r="FM4" s="72">
        <v>169</v>
      </c>
      <c r="FN4" s="72">
        <v>170</v>
      </c>
      <c r="FO4" s="72">
        <v>171</v>
      </c>
      <c r="FP4" s="72">
        <v>172</v>
      </c>
      <c r="FQ4" s="72">
        <v>173</v>
      </c>
      <c r="FR4" s="72">
        <v>174</v>
      </c>
      <c r="FS4" s="72">
        <v>175</v>
      </c>
      <c r="FT4" s="72">
        <v>176</v>
      </c>
      <c r="FU4" s="72">
        <v>177</v>
      </c>
      <c r="FV4" s="72">
        <v>178</v>
      </c>
      <c r="FW4" s="72">
        <v>179</v>
      </c>
      <c r="FX4" s="72">
        <v>180</v>
      </c>
      <c r="FY4" s="72">
        <v>181</v>
      </c>
      <c r="FZ4" s="72">
        <v>182</v>
      </c>
      <c r="GA4" s="72">
        <v>183</v>
      </c>
      <c r="GB4" s="72">
        <v>184</v>
      </c>
      <c r="GC4" s="72">
        <v>185</v>
      </c>
      <c r="GD4" s="72">
        <v>186</v>
      </c>
      <c r="GE4" s="72">
        <v>187</v>
      </c>
      <c r="GF4" s="72">
        <v>188</v>
      </c>
      <c r="GG4" s="72">
        <v>189</v>
      </c>
      <c r="GH4" s="72">
        <v>190</v>
      </c>
      <c r="GI4" s="72">
        <v>191</v>
      </c>
      <c r="GJ4" s="72">
        <v>192</v>
      </c>
      <c r="GK4" s="72">
        <v>193</v>
      </c>
      <c r="GL4" s="72">
        <v>194</v>
      </c>
      <c r="GM4" s="72">
        <v>195</v>
      </c>
      <c r="GN4" s="72">
        <v>196</v>
      </c>
      <c r="GO4" s="72">
        <v>197</v>
      </c>
      <c r="GP4" s="72">
        <v>198</v>
      </c>
      <c r="GQ4" s="72">
        <v>199</v>
      </c>
      <c r="GR4" s="72">
        <v>200</v>
      </c>
    </row>
  </sheetData>
  <phoneticPr fontId="39"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D5A35-92BC-44D3-87D2-9A902EF8A8BE}">
  <sheetPr>
    <pageSetUpPr fitToPage="1"/>
  </sheetPr>
  <dimension ref="B1:AP117"/>
  <sheetViews>
    <sheetView zoomScale="80" zoomScaleNormal="80" workbookViewId="0">
      <selection activeCell="C1" sqref="C1:E1"/>
    </sheetView>
  </sheetViews>
  <sheetFormatPr baseColWidth="10" defaultColWidth="11.42578125" defaultRowHeight="12.75" x14ac:dyDescent="0.2"/>
  <cols>
    <col min="1" max="1" width="2" style="1" customWidth="1"/>
    <col min="2" max="2" width="1.42578125" style="1" customWidth="1"/>
    <col min="3" max="3" width="12.5703125" style="22" customWidth="1"/>
    <col min="4" max="4" width="17.85546875" style="1" customWidth="1"/>
    <col min="5" max="5" width="6.140625" style="29" customWidth="1"/>
    <col min="6" max="6" width="12.85546875" style="1" bestFit="1" customWidth="1"/>
    <col min="7" max="9" width="12.85546875" style="1" customWidth="1"/>
    <col min="10" max="10" width="12.85546875" style="1" hidden="1" customWidth="1"/>
    <col min="11" max="11" width="7.140625" style="332" customWidth="1"/>
    <col min="12" max="12" width="2.28515625" style="1" customWidth="1"/>
    <col min="13" max="27" width="11.140625" style="1" customWidth="1"/>
    <col min="28" max="31" width="13.140625" style="1" customWidth="1"/>
    <col min="32" max="32" width="1.42578125" style="1" customWidth="1"/>
    <col min="33" max="33" width="7.140625" style="1" customWidth="1"/>
    <col min="34" max="38" width="14.5703125" style="1" customWidth="1"/>
    <col min="39" max="39" width="3.140625" style="1" customWidth="1"/>
    <col min="40" max="16384" width="11.42578125" style="1"/>
  </cols>
  <sheetData>
    <row r="1" spans="2:42" ht="16.5" customHeight="1" x14ac:dyDescent="0.2">
      <c r="C1" s="658" t="s">
        <v>298</v>
      </c>
      <c r="D1" s="658"/>
      <c r="E1" s="658"/>
      <c r="F1" s="657" t="s">
        <v>6</v>
      </c>
      <c r="G1" s="657"/>
      <c r="H1" s="657"/>
      <c r="I1" s="657"/>
      <c r="J1" s="657"/>
      <c r="K1" s="657"/>
    </row>
    <row r="2" spans="2:42" s="22" customFormat="1" ht="39" thickBot="1" x14ac:dyDescent="0.25">
      <c r="F2" s="91" t="s">
        <v>282</v>
      </c>
      <c r="G2" s="91" t="s">
        <v>273</v>
      </c>
      <c r="H2" s="91" t="s">
        <v>255</v>
      </c>
      <c r="I2" s="91" t="s">
        <v>388</v>
      </c>
      <c r="J2" s="74" t="s">
        <v>772</v>
      </c>
      <c r="K2" s="329"/>
      <c r="L2" s="642" t="s">
        <v>278</v>
      </c>
      <c r="M2" s="643"/>
      <c r="N2" s="643"/>
      <c r="O2" s="643"/>
      <c r="P2" s="643"/>
      <c r="Q2" s="643"/>
      <c r="R2" s="643"/>
      <c r="S2" s="643"/>
      <c r="T2" s="643"/>
      <c r="U2" s="643"/>
      <c r="V2" s="643"/>
      <c r="W2" s="643"/>
      <c r="X2" s="643"/>
      <c r="Y2" s="643"/>
      <c r="Z2" s="643"/>
      <c r="AA2" s="321"/>
      <c r="AB2" s="91" t="s">
        <v>266</v>
      </c>
      <c r="AC2" s="91" t="s">
        <v>265</v>
      </c>
      <c r="AD2" s="91" t="s">
        <v>417</v>
      </c>
      <c r="AE2" s="91" t="s">
        <v>785</v>
      </c>
    </row>
    <row r="3" spans="2:42" s="22" customFormat="1" ht="7.5" customHeight="1" thickTop="1" thickBot="1" x14ac:dyDescent="0.25">
      <c r="B3" s="46"/>
      <c r="C3" s="93"/>
      <c r="D3" s="93"/>
      <c r="E3" s="94"/>
      <c r="F3" s="95"/>
      <c r="G3" s="95"/>
      <c r="H3" s="95"/>
      <c r="I3" s="95"/>
      <c r="J3" s="95"/>
      <c r="K3" s="330"/>
      <c r="L3" s="93"/>
      <c r="M3" s="93"/>
      <c r="N3" s="96"/>
      <c r="O3" s="96"/>
      <c r="P3" s="96"/>
      <c r="Q3" s="96"/>
      <c r="R3" s="96"/>
      <c r="S3" s="96"/>
      <c r="T3" s="96"/>
      <c r="U3" s="96"/>
      <c r="V3" s="96"/>
      <c r="W3" s="96"/>
      <c r="X3" s="96"/>
      <c r="Y3" s="96"/>
      <c r="Z3" s="96"/>
      <c r="AA3" s="96"/>
      <c r="AB3" s="93"/>
      <c r="AC3" s="93"/>
      <c r="AD3" s="93"/>
      <c r="AE3" s="93"/>
      <c r="AF3" s="47"/>
    </row>
    <row r="4" spans="2:42" x14ac:dyDescent="0.2">
      <c r="B4" s="48"/>
      <c r="C4" s="637" t="s">
        <v>251</v>
      </c>
      <c r="D4" s="31"/>
      <c r="E4" s="33" t="s">
        <v>252</v>
      </c>
      <c r="F4" s="366">
        <f>VLOOKUP($C$1,Daten[],10,0)</f>
        <v>0</v>
      </c>
      <c r="G4" s="77">
        <v>0</v>
      </c>
      <c r="H4" s="77">
        <v>0</v>
      </c>
      <c r="I4" s="367">
        <f>G4+H4</f>
        <v>0</v>
      </c>
      <c r="J4" s="31"/>
      <c r="K4" s="331"/>
      <c r="L4" s="514"/>
      <c r="M4" s="31"/>
      <c r="N4" s="611" t="str">
        <f>IF(AND(M6=0,(O6+Q6+S6+U6+V6+W6+Y6+AA6)&gt;0),"Unzulässige Umschichtungen!","")</f>
        <v/>
      </c>
      <c r="O4" s="611"/>
      <c r="P4" s="611"/>
      <c r="Q4" s="611"/>
      <c r="R4" s="611"/>
      <c r="S4" s="611"/>
      <c r="T4" s="611"/>
      <c r="U4" s="611"/>
      <c r="V4" s="611"/>
      <c r="W4" s="611"/>
      <c r="X4" s="611"/>
      <c r="Y4" s="611"/>
      <c r="Z4" s="611"/>
      <c r="AA4" s="612"/>
      <c r="AB4" s="590">
        <f>F7+N7+O7+P7+Q7+R7+S7+T7+U7+V7+W7+X7+Y7+Z7+AA7</f>
        <v>0</v>
      </c>
      <c r="AC4" s="593">
        <f>AB4-I7</f>
        <v>0</v>
      </c>
      <c r="AD4" s="600">
        <f>IF(AC4&lt;0,AC4*-1,0)</f>
        <v>0</v>
      </c>
      <c r="AE4" s="619">
        <f>IF(AC4&gt;0,AC4,0)</f>
        <v>0</v>
      </c>
      <c r="AF4" s="49"/>
      <c r="AH4" s="669" t="str">
        <f>IF(AND(AE4&gt;0,(P7+R7+T7+X7+Z7)&gt;0),"Korrigieren Sie die Umschichtungen: Umschichtungen nach SMS UND Rückgabe sind nicht gleichzeitig möglich!",IF(AND(AD4&gt;0,OR(AE9&gt;0,AE19&gt;0,AE24&gt;0)),"Korrigieren Sie die Umschichtungen: Gleichzeitige Rückgabe von Mitteln und Antrag auf zusätzliche Mittel ist nicht möglich!",""))</f>
        <v/>
      </c>
      <c r="AI4" s="669"/>
      <c r="AJ4" s="669"/>
      <c r="AK4" s="669"/>
      <c r="AL4" s="669"/>
      <c r="AN4" s="669" t="str">
        <f>IF(AND(I5+I6=0,I4&gt;0),"Finanzierte/zero grant Tage müssen angegeben werden.","")</f>
        <v/>
      </c>
      <c r="AO4" s="669"/>
      <c r="AP4" s="669"/>
    </row>
    <row r="5" spans="2:42" ht="13.5" x14ac:dyDescent="0.25">
      <c r="B5" s="48"/>
      <c r="C5" s="638"/>
      <c r="E5" s="29" t="s">
        <v>271</v>
      </c>
      <c r="F5" s="519"/>
      <c r="G5" s="78">
        <v>0</v>
      </c>
      <c r="H5" s="78">
        <v>0</v>
      </c>
      <c r="I5" s="368">
        <f t="shared" ref="I5:I7" si="0">G5+H5</f>
        <v>0</v>
      </c>
      <c r="L5" s="11"/>
      <c r="M5" s="62" t="s">
        <v>784</v>
      </c>
      <c r="N5" s="62" t="s">
        <v>250</v>
      </c>
      <c r="O5" s="62" t="s">
        <v>249</v>
      </c>
      <c r="P5" s="62" t="s">
        <v>262</v>
      </c>
      <c r="Q5" s="62" t="s">
        <v>263</v>
      </c>
      <c r="R5" s="62" t="s">
        <v>245</v>
      </c>
      <c r="S5" s="62" t="s">
        <v>247</v>
      </c>
      <c r="T5" s="62" t="s">
        <v>246</v>
      </c>
      <c r="U5" s="62" t="s">
        <v>248</v>
      </c>
      <c r="V5" s="62" t="s">
        <v>466</v>
      </c>
      <c r="W5" s="62" t="s">
        <v>550</v>
      </c>
      <c r="X5" s="62" t="s">
        <v>967</v>
      </c>
      <c r="Y5" s="62" t="s">
        <v>968</v>
      </c>
      <c r="Z5" s="62" t="s">
        <v>277</v>
      </c>
      <c r="AA5" s="351" t="s">
        <v>771</v>
      </c>
      <c r="AB5" s="591"/>
      <c r="AC5" s="594"/>
      <c r="AD5" s="622"/>
      <c r="AE5" s="620"/>
      <c r="AF5" s="49"/>
      <c r="AH5" s="669"/>
      <c r="AI5" s="669"/>
      <c r="AJ5" s="669"/>
      <c r="AK5" s="669"/>
      <c r="AL5" s="669"/>
      <c r="AN5" s="669"/>
      <c r="AO5" s="669"/>
      <c r="AP5" s="669"/>
    </row>
    <row r="6" spans="2:42" x14ac:dyDescent="0.2">
      <c r="B6" s="48"/>
      <c r="C6" s="638"/>
      <c r="E6" s="29" t="s">
        <v>272</v>
      </c>
      <c r="F6" s="519"/>
      <c r="G6" s="78">
        <v>0</v>
      </c>
      <c r="H6" s="78">
        <v>0</v>
      </c>
      <c r="I6" s="368">
        <f t="shared" si="0"/>
        <v>0</v>
      </c>
      <c r="L6" s="515"/>
      <c r="M6" s="512">
        <f>MAX(0,F7-I7)</f>
        <v>0</v>
      </c>
      <c r="N6" s="517"/>
      <c r="O6" s="517"/>
      <c r="P6" s="517"/>
      <c r="Q6" s="232">
        <v>0</v>
      </c>
      <c r="R6" s="517"/>
      <c r="S6" s="232">
        <v>0</v>
      </c>
      <c r="T6" s="517"/>
      <c r="U6" s="232">
        <v>0</v>
      </c>
      <c r="V6" s="232">
        <v>0</v>
      </c>
      <c r="W6" s="232">
        <v>0</v>
      </c>
      <c r="X6" s="517"/>
      <c r="Y6" s="232">
        <v>0</v>
      </c>
      <c r="Z6" s="517"/>
      <c r="AA6" s="232">
        <v>0</v>
      </c>
      <c r="AB6" s="591"/>
      <c r="AC6" s="594"/>
      <c r="AD6" s="622"/>
      <c r="AE6" s="620"/>
      <c r="AF6" s="49"/>
      <c r="AH6" s="669"/>
      <c r="AI6" s="669"/>
      <c r="AJ6" s="669"/>
      <c r="AK6" s="669"/>
      <c r="AL6" s="669"/>
      <c r="AN6" s="669"/>
      <c r="AO6" s="669"/>
      <c r="AP6" s="669"/>
    </row>
    <row r="7" spans="2:42" ht="13.5" thickBot="1" x14ac:dyDescent="0.25">
      <c r="B7" s="48"/>
      <c r="C7" s="639"/>
      <c r="D7" s="34"/>
      <c r="E7" s="36" t="s">
        <v>112</v>
      </c>
      <c r="F7" s="369">
        <f>VLOOKUP($C$1,Daten[],12,0)</f>
        <v>0</v>
      </c>
      <c r="G7" s="79">
        <v>0</v>
      </c>
      <c r="H7" s="79">
        <v>0</v>
      </c>
      <c r="I7" s="370">
        <f t="shared" si="0"/>
        <v>0</v>
      </c>
      <c r="J7" s="102"/>
      <c r="K7" s="333"/>
      <c r="L7" s="516"/>
      <c r="M7" s="85"/>
      <c r="N7" s="99"/>
      <c r="O7" s="99"/>
      <c r="P7" s="490">
        <f>O11</f>
        <v>0</v>
      </c>
      <c r="Q7" s="490">
        <f>Q6*-1</f>
        <v>0</v>
      </c>
      <c r="R7" s="490">
        <f>O21</f>
        <v>0</v>
      </c>
      <c r="S7" s="490">
        <f>S6*-1</f>
        <v>0</v>
      </c>
      <c r="T7" s="490">
        <f>O26</f>
        <v>0</v>
      </c>
      <c r="U7" s="490">
        <f>U6*-1</f>
        <v>0</v>
      </c>
      <c r="V7" s="490">
        <f>V6*-1</f>
        <v>0</v>
      </c>
      <c r="W7" s="490">
        <f>W6*-1</f>
        <v>0</v>
      </c>
      <c r="X7" s="490">
        <f>O51</f>
        <v>0</v>
      </c>
      <c r="Y7" s="490">
        <f>Y6*-1</f>
        <v>0</v>
      </c>
      <c r="Z7" s="490">
        <f>O92</f>
        <v>0</v>
      </c>
      <c r="AA7" s="513">
        <f>AA6*-1</f>
        <v>0</v>
      </c>
      <c r="AB7" s="592"/>
      <c r="AC7" s="595"/>
      <c r="AD7" s="601"/>
      <c r="AE7" s="621"/>
      <c r="AF7" s="49"/>
      <c r="AH7" s="669"/>
      <c r="AI7" s="669"/>
      <c r="AJ7" s="669"/>
      <c r="AK7" s="669"/>
      <c r="AL7" s="669"/>
      <c r="AN7" s="669"/>
      <c r="AO7" s="669"/>
      <c r="AP7" s="669"/>
    </row>
    <row r="8" spans="2:42" ht="8.25" customHeight="1" thickBot="1" x14ac:dyDescent="0.25">
      <c r="B8" s="48"/>
      <c r="G8" s="478"/>
      <c r="H8" s="478"/>
      <c r="AF8" s="49"/>
    </row>
    <row r="9" spans="2:42" x14ac:dyDescent="0.2">
      <c r="B9" s="48"/>
      <c r="C9" s="637" t="s">
        <v>253</v>
      </c>
      <c r="D9" s="31"/>
      <c r="E9" s="33" t="s">
        <v>252</v>
      </c>
      <c r="F9" s="366">
        <f>VLOOKUP($C$1,Daten[],13,0)</f>
        <v>0</v>
      </c>
      <c r="G9" s="77">
        <v>0</v>
      </c>
      <c r="H9" s="77">
        <v>0</v>
      </c>
      <c r="I9" s="367">
        <f>G9+H9</f>
        <v>0</v>
      </c>
      <c r="J9" s="31"/>
      <c r="K9" s="331"/>
      <c r="L9" s="514"/>
      <c r="M9" s="31"/>
      <c r="N9" s="611" t="str">
        <f>IF(AND(M11=0,(O11+Q11+S11+U11+V11+W11+Y11+AA11)&gt;0),"Unzulässige Umschichtungen!","")</f>
        <v/>
      </c>
      <c r="O9" s="611"/>
      <c r="P9" s="611"/>
      <c r="Q9" s="611"/>
      <c r="R9" s="611"/>
      <c r="S9" s="611"/>
      <c r="T9" s="611"/>
      <c r="U9" s="611"/>
      <c r="V9" s="611"/>
      <c r="W9" s="611"/>
      <c r="X9" s="611"/>
      <c r="Y9" s="611"/>
      <c r="Z9" s="611"/>
      <c r="AA9" s="612"/>
      <c r="AB9" s="590">
        <f>F12+N12+O12+P12+Q12+R12+S12+T12+U12+V12+W12+X12+Y12+Z12+AA12</f>
        <v>0</v>
      </c>
      <c r="AC9" s="593">
        <f>AB9-I12</f>
        <v>0</v>
      </c>
      <c r="AD9" s="600">
        <f>IF(AC9&lt;0,AC9*-1,0)</f>
        <v>0</v>
      </c>
      <c r="AE9" s="619">
        <f>IF(AC9&gt;0,AC9,0)</f>
        <v>0</v>
      </c>
      <c r="AF9" s="49"/>
      <c r="AH9" s="669" t="str">
        <f>IF(AND(AE9&gt;0,(P12+R12+T12+X12+Z12)&gt;0),"Korrigieren Sie die Umschichtungen: Umschichtungen nach SMT UND Rückgabe sind nicht gleichzeitig möglich!",IF(AND(AD9&gt;0,OR(AE4&gt;0,AE19&gt;0,AE24&gt;0)),"Korrigieren Sie die Umschichtungen: Gleichzeitige Rückgabe von Mitteln und Antrag auf zusätzliche Mittel ist nicht möglich!",""))</f>
        <v/>
      </c>
      <c r="AI9" s="669"/>
      <c r="AJ9" s="669"/>
      <c r="AK9" s="669"/>
      <c r="AL9" s="669"/>
      <c r="AN9" s="669" t="str">
        <f>IF(AND(I10+I11=0,I9&gt;0),"Finanzierte/zero grant Tage müssen angegeben werden.","")</f>
        <v/>
      </c>
      <c r="AO9" s="669"/>
      <c r="AP9" s="669"/>
    </row>
    <row r="10" spans="2:42" ht="13.5" x14ac:dyDescent="0.25">
      <c r="B10" s="48"/>
      <c r="C10" s="638"/>
      <c r="E10" s="29" t="s">
        <v>271</v>
      </c>
      <c r="F10" s="519"/>
      <c r="G10" s="78">
        <v>0</v>
      </c>
      <c r="H10" s="78">
        <v>0</v>
      </c>
      <c r="I10" s="368">
        <f t="shared" ref="I10" si="1">G10+H10</f>
        <v>0</v>
      </c>
      <c r="L10" s="11"/>
      <c r="M10" s="62" t="s">
        <v>784</v>
      </c>
      <c r="N10" s="62" t="s">
        <v>250</v>
      </c>
      <c r="O10" s="62" t="s">
        <v>249</v>
      </c>
      <c r="P10" s="62" t="s">
        <v>262</v>
      </c>
      <c r="Q10" s="62" t="s">
        <v>263</v>
      </c>
      <c r="R10" s="62" t="s">
        <v>245</v>
      </c>
      <c r="S10" s="62" t="s">
        <v>247</v>
      </c>
      <c r="T10" s="62" t="s">
        <v>246</v>
      </c>
      <c r="U10" s="62" t="s">
        <v>248</v>
      </c>
      <c r="V10" s="62" t="s">
        <v>466</v>
      </c>
      <c r="W10" s="62" t="s">
        <v>550</v>
      </c>
      <c r="X10" s="62" t="s">
        <v>967</v>
      </c>
      <c r="Y10" s="62" t="s">
        <v>968</v>
      </c>
      <c r="Z10" s="62" t="s">
        <v>277</v>
      </c>
      <c r="AA10" s="351" t="s">
        <v>771</v>
      </c>
      <c r="AB10" s="591"/>
      <c r="AC10" s="594"/>
      <c r="AD10" s="622"/>
      <c r="AE10" s="620"/>
      <c r="AF10" s="49"/>
      <c r="AH10" s="669"/>
      <c r="AI10" s="669"/>
      <c r="AJ10" s="669"/>
      <c r="AK10" s="669"/>
      <c r="AL10" s="669"/>
      <c r="AN10" s="669"/>
      <c r="AO10" s="669"/>
      <c r="AP10" s="669"/>
    </row>
    <row r="11" spans="2:42" x14ac:dyDescent="0.2">
      <c r="B11" s="48"/>
      <c r="C11" s="638"/>
      <c r="E11" s="29" t="s">
        <v>272</v>
      </c>
      <c r="F11" s="519"/>
      <c r="G11" s="78">
        <v>0</v>
      </c>
      <c r="H11" s="78">
        <v>0</v>
      </c>
      <c r="I11" s="368">
        <f t="shared" ref="I11:I12" si="2">G11+H11</f>
        <v>0</v>
      </c>
      <c r="L11" s="515"/>
      <c r="M11" s="512">
        <f>MAX(0,F12-I12)</f>
        <v>0</v>
      </c>
      <c r="N11" s="517"/>
      <c r="O11" s="232">
        <v>0</v>
      </c>
      <c r="P11" s="517"/>
      <c r="Q11" s="517"/>
      <c r="R11" s="517"/>
      <c r="S11" s="232">
        <v>0</v>
      </c>
      <c r="T11" s="517"/>
      <c r="U11" s="232">
        <v>0</v>
      </c>
      <c r="V11" s="232">
        <v>0</v>
      </c>
      <c r="W11" s="232">
        <v>0</v>
      </c>
      <c r="X11" s="517"/>
      <c r="Y11" s="232">
        <v>0</v>
      </c>
      <c r="Z11" s="517"/>
      <c r="AA11" s="232">
        <v>0</v>
      </c>
      <c r="AB11" s="591"/>
      <c r="AC11" s="594"/>
      <c r="AD11" s="622"/>
      <c r="AE11" s="620"/>
      <c r="AF11" s="49"/>
      <c r="AH11" s="669"/>
      <c r="AI11" s="669"/>
      <c r="AJ11" s="669"/>
      <c r="AK11" s="669"/>
      <c r="AL11" s="669"/>
      <c r="AN11" s="669"/>
      <c r="AO11" s="669"/>
      <c r="AP11" s="669"/>
    </row>
    <row r="12" spans="2:42" ht="13.5" thickBot="1" x14ac:dyDescent="0.25">
      <c r="B12" s="48"/>
      <c r="C12" s="639"/>
      <c r="D12" s="34"/>
      <c r="E12" s="36" t="s">
        <v>112</v>
      </c>
      <c r="F12" s="369">
        <f>VLOOKUP($C$1,Daten[],15,0)</f>
        <v>0</v>
      </c>
      <c r="G12" s="79">
        <v>0</v>
      </c>
      <c r="H12" s="79">
        <v>0</v>
      </c>
      <c r="I12" s="370">
        <f t="shared" si="2"/>
        <v>0</v>
      </c>
      <c r="J12" s="102"/>
      <c r="K12" s="333"/>
      <c r="L12" s="516"/>
      <c r="M12" s="85"/>
      <c r="N12" s="490">
        <f>Q6</f>
        <v>0</v>
      </c>
      <c r="O12" s="490">
        <f>O11*-1</f>
        <v>0</v>
      </c>
      <c r="P12" s="518"/>
      <c r="Q12" s="518"/>
      <c r="R12" s="490">
        <f>Q21</f>
        <v>0</v>
      </c>
      <c r="S12" s="490">
        <f>S11*-1</f>
        <v>0</v>
      </c>
      <c r="T12" s="490">
        <f>Q26</f>
        <v>0</v>
      </c>
      <c r="U12" s="490">
        <f>U11*-1</f>
        <v>0</v>
      </c>
      <c r="V12" s="490">
        <f>V11*-1</f>
        <v>0</v>
      </c>
      <c r="W12" s="490">
        <f>W11*-1</f>
        <v>0</v>
      </c>
      <c r="X12" s="490">
        <f>Q51</f>
        <v>0</v>
      </c>
      <c r="Y12" s="490">
        <f>Y11*-1</f>
        <v>0</v>
      </c>
      <c r="Z12" s="490">
        <f>Q92</f>
        <v>0</v>
      </c>
      <c r="AA12" s="513">
        <f>AA11*-1</f>
        <v>0</v>
      </c>
      <c r="AB12" s="592"/>
      <c r="AC12" s="595"/>
      <c r="AD12" s="601"/>
      <c r="AE12" s="621"/>
      <c r="AF12" s="49"/>
      <c r="AH12" s="669"/>
      <c r="AI12" s="669"/>
      <c r="AJ12" s="669"/>
      <c r="AK12" s="669"/>
      <c r="AL12" s="669"/>
      <c r="AN12" s="669"/>
      <c r="AO12" s="669"/>
      <c r="AP12" s="669"/>
    </row>
    <row r="13" spans="2:42" ht="8.25" customHeight="1" thickBot="1" x14ac:dyDescent="0.25">
      <c r="B13" s="48"/>
      <c r="AC13" s="7"/>
      <c r="AF13" s="50"/>
    </row>
    <row r="14" spans="2:42" ht="12.75" customHeight="1" x14ac:dyDescent="0.2">
      <c r="B14" s="48"/>
      <c r="C14" s="640" t="s">
        <v>267</v>
      </c>
      <c r="D14" s="117"/>
      <c r="E14" s="118" t="s">
        <v>252</v>
      </c>
      <c r="F14" s="371">
        <f>F4+F9</f>
        <v>0</v>
      </c>
      <c r="G14" s="119">
        <f>G4+G9</f>
        <v>0</v>
      </c>
      <c r="H14" s="119">
        <f>H4+H9</f>
        <v>0</v>
      </c>
      <c r="I14" s="372">
        <f>I4+I9</f>
        <v>0</v>
      </c>
      <c r="J14" s="117"/>
      <c r="K14" s="334"/>
      <c r="L14" s="117"/>
      <c r="M14" s="117"/>
      <c r="N14" s="117"/>
      <c r="O14" s="120" t="s">
        <v>268</v>
      </c>
      <c r="P14" s="646" t="str">
        <f>IF((U15*-1)&gt;(F15*0.1),"Umschichtung OHNE Amendment maximal 10% ! 
(Euro "&amp;TEXT(F15*0.1,"#.##0,00")&amp;")","")</f>
        <v/>
      </c>
      <c r="Q14" s="646"/>
      <c r="R14" s="646"/>
      <c r="S14" s="646"/>
      <c r="T14" s="646"/>
      <c r="U14" s="120" t="s">
        <v>269</v>
      </c>
      <c r="V14" s="120" t="s">
        <v>466</v>
      </c>
      <c r="W14" s="120" t="s">
        <v>550</v>
      </c>
      <c r="X14" s="118"/>
      <c r="Y14" s="120" t="s">
        <v>770</v>
      </c>
      <c r="Z14" s="120"/>
      <c r="AA14" s="375" t="s">
        <v>771</v>
      </c>
      <c r="AB14" s="635">
        <f>F15+O15+Y15+AA165+U15+V15+W15+AA15</f>
        <v>0</v>
      </c>
      <c r="AC14" s="598">
        <f>AB14-I15</f>
        <v>0</v>
      </c>
      <c r="AD14" s="626">
        <f>IF(AC14&lt;0,AC14*-1,0)</f>
        <v>0</v>
      </c>
      <c r="AE14" s="604">
        <f>IF(AC14&gt;0,AC14,0)</f>
        <v>0</v>
      </c>
      <c r="AF14" s="49"/>
      <c r="AG14" s="7"/>
      <c r="AH14" s="671" t="str">
        <f>IF((U15*-1)&gt;(F15*0.1),"Information: Mit dieser Umschichtung (&gt;10% SM-&gt;ST) beantragen Sie die Ausstellung einer Zusatzvereinbarung. Bitte geben Sie eine Begründung für die gewünschte Umschichtung an.","")</f>
        <v/>
      </c>
      <c r="AI14" s="671"/>
      <c r="AJ14" s="671"/>
      <c r="AK14" s="671"/>
      <c r="AL14" s="671"/>
    </row>
    <row r="15" spans="2:42" ht="13.5" thickBot="1" x14ac:dyDescent="0.25">
      <c r="B15" s="48"/>
      <c r="C15" s="641"/>
      <c r="D15" s="121"/>
      <c r="E15" s="122" t="s">
        <v>112</v>
      </c>
      <c r="F15" s="373">
        <f>F7+F12</f>
        <v>0</v>
      </c>
      <c r="G15" s="123">
        <f t="shared" ref="G15:I15" si="3">G7+G12</f>
        <v>0</v>
      </c>
      <c r="H15" s="123">
        <f t="shared" si="3"/>
        <v>0</v>
      </c>
      <c r="I15" s="374">
        <f t="shared" si="3"/>
        <v>0</v>
      </c>
      <c r="J15" s="327"/>
      <c r="K15" s="335"/>
      <c r="L15" s="121"/>
      <c r="M15" s="121"/>
      <c r="N15" s="327"/>
      <c r="O15" s="123">
        <f>O21+Q21+O26+Q26+O51+Q51+O92+Q92</f>
        <v>0</v>
      </c>
      <c r="P15" s="647"/>
      <c r="Q15" s="647"/>
      <c r="R15" s="647"/>
      <c r="S15" s="647"/>
      <c r="T15" s="647"/>
      <c r="U15" s="123">
        <f>S7+U7+S12+U12</f>
        <v>0</v>
      </c>
      <c r="V15" s="123">
        <f>V7+V12</f>
        <v>0</v>
      </c>
      <c r="W15" s="123">
        <f>W7+W12</f>
        <v>0</v>
      </c>
      <c r="X15" s="327"/>
      <c r="Y15" s="123">
        <f>Y7+Y12</f>
        <v>0</v>
      </c>
      <c r="Z15" s="327"/>
      <c r="AA15" s="374">
        <f>AA7+AA12</f>
        <v>0</v>
      </c>
      <c r="AB15" s="636"/>
      <c r="AC15" s="599"/>
      <c r="AD15" s="627"/>
      <c r="AE15" s="605"/>
      <c r="AF15" s="49"/>
      <c r="AH15" s="671"/>
      <c r="AI15" s="671"/>
      <c r="AJ15" s="671"/>
      <c r="AK15" s="671"/>
      <c r="AL15" s="671"/>
    </row>
    <row r="16" spans="2:42" ht="7.5" customHeight="1" thickBot="1" x14ac:dyDescent="0.25">
      <c r="B16" s="51"/>
      <c r="C16" s="324"/>
      <c r="D16" s="52"/>
      <c r="E16" s="53"/>
      <c r="F16" s="52"/>
      <c r="G16" s="52"/>
      <c r="H16" s="52"/>
      <c r="I16" s="52"/>
      <c r="J16" s="52"/>
      <c r="K16" s="336"/>
      <c r="L16" s="52"/>
      <c r="M16" s="52"/>
      <c r="N16" s="52"/>
      <c r="O16" s="52"/>
      <c r="P16" s="52"/>
      <c r="Q16" s="52"/>
      <c r="R16" s="52"/>
      <c r="S16" s="52"/>
      <c r="T16" s="52"/>
      <c r="U16" s="52"/>
      <c r="V16" s="52"/>
      <c r="W16" s="52"/>
      <c r="X16" s="52"/>
      <c r="Y16" s="52"/>
      <c r="Z16" s="52"/>
      <c r="AA16" s="52"/>
      <c r="AB16" s="52"/>
      <c r="AC16" s="54"/>
      <c r="AD16" s="52"/>
      <c r="AE16" s="52"/>
      <c r="AF16" s="55"/>
    </row>
    <row r="17" spans="2:42" ht="14.25" thickTop="1" thickBot="1" x14ac:dyDescent="0.25">
      <c r="AC17" s="7"/>
    </row>
    <row r="18" spans="2:42" ht="7.5" customHeight="1" thickTop="1" thickBot="1" x14ac:dyDescent="0.25">
      <c r="B18" s="56"/>
      <c r="C18" s="325"/>
      <c r="D18" s="57"/>
      <c r="E18" s="58"/>
      <c r="F18" s="57"/>
      <c r="G18" s="57"/>
      <c r="H18" s="57"/>
      <c r="I18" s="57"/>
      <c r="J18" s="57"/>
      <c r="K18" s="337"/>
      <c r="L18" s="57"/>
      <c r="M18" s="57"/>
      <c r="N18" s="57"/>
      <c r="O18" s="57"/>
      <c r="P18" s="57"/>
      <c r="Q18" s="57"/>
      <c r="R18" s="57"/>
      <c r="S18" s="57"/>
      <c r="T18" s="57"/>
      <c r="U18" s="57"/>
      <c r="V18" s="57"/>
      <c r="W18" s="57"/>
      <c r="X18" s="57"/>
      <c r="Y18" s="57"/>
      <c r="Z18" s="57"/>
      <c r="AA18" s="57"/>
      <c r="AB18" s="57"/>
      <c r="AC18" s="57"/>
      <c r="AD18" s="57"/>
      <c r="AE18" s="57"/>
      <c r="AF18" s="59"/>
    </row>
    <row r="19" spans="2:42" x14ac:dyDescent="0.2">
      <c r="B19" s="48"/>
      <c r="C19" s="637" t="s">
        <v>2</v>
      </c>
      <c r="D19" s="31"/>
      <c r="E19" s="33" t="s">
        <v>252</v>
      </c>
      <c r="F19" s="479">
        <f>VLOOKUP($C$1,Daten[],16,0)</f>
        <v>0</v>
      </c>
      <c r="G19" s="77">
        <v>0</v>
      </c>
      <c r="H19" s="77">
        <v>0</v>
      </c>
      <c r="I19" s="481">
        <f>G19+H19</f>
        <v>0</v>
      </c>
      <c r="J19" s="31"/>
      <c r="K19" s="331"/>
      <c r="L19" s="514"/>
      <c r="M19" s="31"/>
      <c r="N19" s="611" t="str">
        <f>IF(AND(M21=0,(O21+Q21+S21+U21+V21+W21+Y21+AA21)&gt;0),"Unzulässige Umschichtungen!","")</f>
        <v/>
      </c>
      <c r="O19" s="611"/>
      <c r="P19" s="611"/>
      <c r="Q19" s="611"/>
      <c r="R19" s="611"/>
      <c r="S19" s="611"/>
      <c r="T19" s="611"/>
      <c r="U19" s="611"/>
      <c r="V19" s="611"/>
      <c r="W19" s="611"/>
      <c r="X19" s="611"/>
      <c r="Y19" s="611"/>
      <c r="Z19" s="611"/>
      <c r="AA19" s="612"/>
      <c r="AB19" s="590">
        <f>F22+N22+O22+P22+Q22+R22+S22+T22+U22+V22+W22+X22+Y22+Z22+AA22</f>
        <v>0</v>
      </c>
      <c r="AC19" s="593">
        <f>AB19-I22</f>
        <v>0</v>
      </c>
      <c r="AD19" s="600">
        <f>IF(AC19&lt;0,AC19*-1,0)</f>
        <v>0</v>
      </c>
      <c r="AE19" s="619">
        <f>IF(AC19&gt;0,AC19,0)</f>
        <v>0</v>
      </c>
      <c r="AF19" s="49"/>
      <c r="AH19" s="669" t="str">
        <f>IF(AND(AE19&gt;0,(P22+R22+T22+X22+Z22)&gt;0),"Korrigieren Sie die Umschichtungen: Umschichtungen nach STA UND Rückgabe sind nicht gleichzeitig möglich!",IF(AND(AD19&gt;0,OR(AE4&gt;0,AE9&gt;0,AE24&gt;0)),"Korrigieren Sie die Umschichtungen: Gleichzeitige Rückgabe von Mitteln und Antrag auf zusätzliche Mittel ist nicht möglich!",""))</f>
        <v/>
      </c>
      <c r="AI19" s="669"/>
      <c r="AJ19" s="669"/>
      <c r="AK19" s="669"/>
      <c r="AL19" s="669"/>
      <c r="AN19" s="669" t="str">
        <f>IF(AND(I20+I21=0,I19&gt;0),"Finanzierte/zero grant Tage müssen angegeben werden.","")</f>
        <v/>
      </c>
      <c r="AO19" s="669"/>
      <c r="AP19" s="669"/>
    </row>
    <row r="20" spans="2:42" ht="13.5" x14ac:dyDescent="0.25">
      <c r="B20" s="48"/>
      <c r="C20" s="638"/>
      <c r="E20" s="29" t="s">
        <v>271</v>
      </c>
      <c r="F20" s="519"/>
      <c r="G20" s="78">
        <v>0</v>
      </c>
      <c r="H20" s="78">
        <v>0</v>
      </c>
      <c r="I20" s="368">
        <f t="shared" ref="I20" si="4">G20+H20</f>
        <v>0</v>
      </c>
      <c r="L20" s="11"/>
      <c r="M20" s="62" t="s">
        <v>784</v>
      </c>
      <c r="N20" s="62" t="s">
        <v>250</v>
      </c>
      <c r="O20" s="62" t="s">
        <v>249</v>
      </c>
      <c r="P20" s="62" t="s">
        <v>262</v>
      </c>
      <c r="Q20" s="62" t="s">
        <v>263</v>
      </c>
      <c r="R20" s="62" t="s">
        <v>245</v>
      </c>
      <c r="S20" s="62" t="s">
        <v>247</v>
      </c>
      <c r="T20" s="62" t="s">
        <v>246</v>
      </c>
      <c r="U20" s="62" t="s">
        <v>248</v>
      </c>
      <c r="V20" s="62" t="s">
        <v>466</v>
      </c>
      <c r="W20" s="62" t="s">
        <v>550</v>
      </c>
      <c r="X20" s="62" t="s">
        <v>967</v>
      </c>
      <c r="Y20" s="62" t="s">
        <v>968</v>
      </c>
      <c r="Z20" s="62" t="s">
        <v>277</v>
      </c>
      <c r="AA20" s="351" t="s">
        <v>771</v>
      </c>
      <c r="AB20" s="591"/>
      <c r="AC20" s="594"/>
      <c r="AD20" s="622"/>
      <c r="AE20" s="620"/>
      <c r="AF20" s="49"/>
      <c r="AH20" s="669"/>
      <c r="AI20" s="669"/>
      <c r="AJ20" s="669"/>
      <c r="AK20" s="669"/>
      <c r="AL20" s="669"/>
      <c r="AN20" s="669"/>
      <c r="AO20" s="669"/>
      <c r="AP20" s="669"/>
    </row>
    <row r="21" spans="2:42" x14ac:dyDescent="0.2">
      <c r="B21" s="48"/>
      <c r="C21" s="638"/>
      <c r="E21" s="29" t="s">
        <v>272</v>
      </c>
      <c r="F21" s="519"/>
      <c r="G21" s="78">
        <v>0</v>
      </c>
      <c r="H21" s="78">
        <v>0</v>
      </c>
      <c r="I21" s="368">
        <f t="shared" ref="I21:I22" si="5">G21+H21</f>
        <v>0</v>
      </c>
      <c r="L21" s="515"/>
      <c r="M21" s="512">
        <f>MAX(0,F22-I22)</f>
        <v>0</v>
      </c>
      <c r="N21" s="517"/>
      <c r="O21" s="232">
        <v>0</v>
      </c>
      <c r="P21" s="517"/>
      <c r="Q21" s="232">
        <v>0</v>
      </c>
      <c r="R21" s="517"/>
      <c r="S21" s="517"/>
      <c r="T21" s="517"/>
      <c r="U21" s="232">
        <v>0</v>
      </c>
      <c r="V21" s="232">
        <v>0</v>
      </c>
      <c r="W21" s="232">
        <v>0</v>
      </c>
      <c r="X21" s="517"/>
      <c r="Y21" s="83">
        <v>0</v>
      </c>
      <c r="Z21" s="517"/>
      <c r="AA21" s="83">
        <v>0</v>
      </c>
      <c r="AB21" s="591"/>
      <c r="AC21" s="594"/>
      <c r="AD21" s="622"/>
      <c r="AE21" s="620"/>
      <c r="AF21" s="49"/>
      <c r="AH21" s="669"/>
      <c r="AI21" s="669"/>
      <c r="AJ21" s="669"/>
      <c r="AK21" s="669"/>
      <c r="AL21" s="669"/>
      <c r="AN21" s="669"/>
      <c r="AO21" s="669"/>
      <c r="AP21" s="669"/>
    </row>
    <row r="22" spans="2:42" ht="13.5" thickBot="1" x14ac:dyDescent="0.25">
      <c r="B22" s="48"/>
      <c r="C22" s="639"/>
      <c r="D22" s="34"/>
      <c r="E22" s="36" t="s">
        <v>112</v>
      </c>
      <c r="F22" s="480">
        <f>VLOOKUP($C$1,Daten[],18,0)</f>
        <v>0</v>
      </c>
      <c r="G22" s="79">
        <v>0</v>
      </c>
      <c r="H22" s="79">
        <v>0</v>
      </c>
      <c r="I22" s="482">
        <f t="shared" si="5"/>
        <v>0</v>
      </c>
      <c r="J22" s="102"/>
      <c r="K22" s="333"/>
      <c r="L22" s="516"/>
      <c r="M22" s="85"/>
      <c r="N22" s="490">
        <f>S6</f>
        <v>0</v>
      </c>
      <c r="O22" s="490">
        <f>O21*-1</f>
        <v>0</v>
      </c>
      <c r="P22" s="490">
        <f>S11</f>
        <v>0</v>
      </c>
      <c r="Q22" s="490">
        <f>Q21*-1</f>
        <v>0</v>
      </c>
      <c r="R22" s="518"/>
      <c r="S22" s="518"/>
      <c r="T22" s="490">
        <f>S26</f>
        <v>0</v>
      </c>
      <c r="U22" s="490">
        <f>U21*-1</f>
        <v>0</v>
      </c>
      <c r="V22" s="490">
        <f>V21*-1</f>
        <v>0</v>
      </c>
      <c r="W22" s="490">
        <f>W21*-1</f>
        <v>0</v>
      </c>
      <c r="X22" s="490">
        <f>S51</f>
        <v>0</v>
      </c>
      <c r="Y22" s="490">
        <f>Y21*-1</f>
        <v>0</v>
      </c>
      <c r="Z22" s="490">
        <f>S92</f>
        <v>0</v>
      </c>
      <c r="AA22" s="513">
        <f>AA21*-1</f>
        <v>0</v>
      </c>
      <c r="AB22" s="592"/>
      <c r="AC22" s="595"/>
      <c r="AD22" s="601"/>
      <c r="AE22" s="621"/>
      <c r="AF22" s="49"/>
      <c r="AH22" s="669"/>
      <c r="AI22" s="669"/>
      <c r="AJ22" s="669"/>
      <c r="AK22" s="669"/>
      <c r="AL22" s="669"/>
      <c r="AN22" s="669"/>
      <c r="AO22" s="669"/>
      <c r="AP22" s="669"/>
    </row>
    <row r="23" spans="2:42" ht="8.25" customHeight="1" thickBot="1" x14ac:dyDescent="0.25">
      <c r="B23" s="48"/>
      <c r="G23" s="478"/>
      <c r="H23" s="478"/>
      <c r="AF23" s="49"/>
    </row>
    <row r="24" spans="2:42" x14ac:dyDescent="0.2">
      <c r="B24" s="48"/>
      <c r="C24" s="637" t="s">
        <v>3</v>
      </c>
      <c r="D24" s="31"/>
      <c r="E24" s="33" t="s">
        <v>252</v>
      </c>
      <c r="F24" s="479">
        <f>VLOOKUP($C$1,Daten[],19,0)</f>
        <v>0</v>
      </c>
      <c r="G24" s="77">
        <v>0</v>
      </c>
      <c r="H24" s="77">
        <v>0</v>
      </c>
      <c r="I24" s="481">
        <f>G24+H24</f>
        <v>0</v>
      </c>
      <c r="J24" s="31"/>
      <c r="K24" s="331"/>
      <c r="L24" s="514"/>
      <c r="M24" s="31"/>
      <c r="N24" s="611" t="str">
        <f>IF(AND(M26=0,(O26+Q26+S26+U26+V26+W26+Y26+AA26)&gt;0),"Unzulässige Umschichtungen!","")</f>
        <v/>
      </c>
      <c r="O24" s="611"/>
      <c r="P24" s="611"/>
      <c r="Q24" s="611"/>
      <c r="R24" s="611"/>
      <c r="S24" s="611"/>
      <c r="T24" s="611"/>
      <c r="U24" s="611"/>
      <c r="V24" s="611"/>
      <c r="W24" s="611"/>
      <c r="X24" s="611"/>
      <c r="Y24" s="611"/>
      <c r="Z24" s="611"/>
      <c r="AA24" s="612"/>
      <c r="AB24" s="590">
        <f>F27+N27+O27+P27+Q27+R27+S27+T27+U27+V27+W27+X27+Y27+Z27+AA27</f>
        <v>0</v>
      </c>
      <c r="AC24" s="593">
        <f>AB24-I27</f>
        <v>0</v>
      </c>
      <c r="AD24" s="600">
        <f>IF(AC24&lt;0,AC24*-1,0)</f>
        <v>0</v>
      </c>
      <c r="AE24" s="619">
        <f>IF(AC24&gt;0,AC24,0)</f>
        <v>0</v>
      </c>
      <c r="AF24" s="49"/>
      <c r="AH24" s="669" t="str">
        <f>IF(AND(AE24&gt;0,(P27+R27+T27+X27+Z27)&gt;0),"Korrigieren Sie die Umschichtungen: Umschichtungen nach STT UND Rückgabe sind nicht gleichzeitig möglich!",IF(AND(AD24&gt;0,OR(AE4&gt;0,AE9&gt;0,AE19&gt;0)),"Korrigieren Sie die Umschichtungen: Gleichzeitige Rückgabe von Mitteln und Antrag auf zusätzliche Mittel ist nicht möglich!",""))</f>
        <v/>
      </c>
      <c r="AI24" s="669"/>
      <c r="AJ24" s="669"/>
      <c r="AK24" s="669"/>
      <c r="AL24" s="669"/>
      <c r="AN24" s="669" t="str">
        <f>IF(AND(I25+I26=0,I24&gt;0),"Finanzierte/zero grant Tage müssen angegeben werden.","")</f>
        <v/>
      </c>
      <c r="AO24" s="669"/>
      <c r="AP24" s="669"/>
    </row>
    <row r="25" spans="2:42" ht="13.5" x14ac:dyDescent="0.25">
      <c r="B25" s="48"/>
      <c r="C25" s="638"/>
      <c r="E25" s="29" t="s">
        <v>271</v>
      </c>
      <c r="F25" s="519"/>
      <c r="G25" s="78">
        <v>0</v>
      </c>
      <c r="H25" s="78">
        <v>0</v>
      </c>
      <c r="I25" s="368">
        <f t="shared" ref="I25" si="6">G25+H25</f>
        <v>0</v>
      </c>
      <c r="L25" s="11"/>
      <c r="M25" s="62" t="s">
        <v>784</v>
      </c>
      <c r="N25" s="62" t="s">
        <v>250</v>
      </c>
      <c r="O25" s="62" t="s">
        <v>249</v>
      </c>
      <c r="P25" s="62" t="s">
        <v>262</v>
      </c>
      <c r="Q25" s="62" t="s">
        <v>263</v>
      </c>
      <c r="R25" s="62" t="s">
        <v>245</v>
      </c>
      <c r="S25" s="62" t="s">
        <v>247</v>
      </c>
      <c r="T25" s="62" t="s">
        <v>246</v>
      </c>
      <c r="U25" s="62" t="s">
        <v>248</v>
      </c>
      <c r="V25" s="62" t="s">
        <v>466</v>
      </c>
      <c r="W25" s="62" t="s">
        <v>550</v>
      </c>
      <c r="X25" s="62" t="s">
        <v>967</v>
      </c>
      <c r="Y25" s="62" t="s">
        <v>968</v>
      </c>
      <c r="Z25" s="62" t="s">
        <v>277</v>
      </c>
      <c r="AA25" s="351" t="s">
        <v>771</v>
      </c>
      <c r="AB25" s="591"/>
      <c r="AC25" s="594"/>
      <c r="AD25" s="622"/>
      <c r="AE25" s="620"/>
      <c r="AF25" s="49"/>
      <c r="AH25" s="669"/>
      <c r="AI25" s="669"/>
      <c r="AJ25" s="669"/>
      <c r="AK25" s="669"/>
      <c r="AL25" s="669"/>
      <c r="AN25" s="669"/>
      <c r="AO25" s="669"/>
      <c r="AP25" s="669"/>
    </row>
    <row r="26" spans="2:42" x14ac:dyDescent="0.2">
      <c r="B26" s="48"/>
      <c r="C26" s="638"/>
      <c r="E26" s="29" t="s">
        <v>272</v>
      </c>
      <c r="F26" s="519"/>
      <c r="G26" s="78">
        <v>0</v>
      </c>
      <c r="H26" s="78">
        <v>0</v>
      </c>
      <c r="I26" s="368">
        <f t="shared" ref="I26:I27" si="7">G26+H26</f>
        <v>0</v>
      </c>
      <c r="L26" s="515"/>
      <c r="M26" s="512">
        <f>MAX(0,F27-I27)</f>
        <v>0</v>
      </c>
      <c r="N26" s="517"/>
      <c r="O26" s="232">
        <v>0</v>
      </c>
      <c r="P26" s="517"/>
      <c r="Q26" s="232">
        <v>0</v>
      </c>
      <c r="R26" s="517"/>
      <c r="S26" s="232">
        <v>0</v>
      </c>
      <c r="T26" s="517"/>
      <c r="U26" s="517"/>
      <c r="V26" s="232">
        <v>0</v>
      </c>
      <c r="W26" s="232">
        <v>0</v>
      </c>
      <c r="X26" s="517"/>
      <c r="Y26" s="83">
        <v>0</v>
      </c>
      <c r="Z26" s="517"/>
      <c r="AA26" s="83">
        <v>0</v>
      </c>
      <c r="AB26" s="591"/>
      <c r="AC26" s="594"/>
      <c r="AD26" s="622"/>
      <c r="AE26" s="620"/>
      <c r="AF26" s="49"/>
      <c r="AH26" s="669"/>
      <c r="AI26" s="669"/>
      <c r="AJ26" s="669"/>
      <c r="AK26" s="669"/>
      <c r="AL26" s="669"/>
      <c r="AN26" s="669"/>
      <c r="AO26" s="669"/>
      <c r="AP26" s="669"/>
    </row>
    <row r="27" spans="2:42" ht="13.5" thickBot="1" x14ac:dyDescent="0.25">
      <c r="B27" s="48"/>
      <c r="C27" s="639"/>
      <c r="D27" s="34"/>
      <c r="E27" s="36" t="s">
        <v>112</v>
      </c>
      <c r="F27" s="480">
        <f>VLOOKUP($C$1,Daten[],21,0)</f>
        <v>0</v>
      </c>
      <c r="G27" s="79">
        <v>0</v>
      </c>
      <c r="H27" s="79">
        <v>0</v>
      </c>
      <c r="I27" s="482">
        <f t="shared" si="7"/>
        <v>0</v>
      </c>
      <c r="J27" s="102"/>
      <c r="K27" s="333"/>
      <c r="L27" s="516"/>
      <c r="M27" s="85"/>
      <c r="N27" s="490">
        <f>U6</f>
        <v>0</v>
      </c>
      <c r="O27" s="490">
        <f>O26*-1</f>
        <v>0</v>
      </c>
      <c r="P27" s="490">
        <f>U11</f>
        <v>0</v>
      </c>
      <c r="Q27" s="490">
        <f>Q26*-1</f>
        <v>0</v>
      </c>
      <c r="R27" s="490">
        <f>U21</f>
        <v>0</v>
      </c>
      <c r="S27" s="490">
        <f>S26*-1</f>
        <v>0</v>
      </c>
      <c r="T27" s="518"/>
      <c r="U27" s="518"/>
      <c r="V27" s="490">
        <f>V26*-1</f>
        <v>0</v>
      </c>
      <c r="W27" s="490">
        <f>W26*-1</f>
        <v>0</v>
      </c>
      <c r="X27" s="490">
        <f>U51</f>
        <v>0</v>
      </c>
      <c r="Y27" s="490">
        <f>Y26*-1</f>
        <v>0</v>
      </c>
      <c r="Z27" s="490">
        <f>U92</f>
        <v>0</v>
      </c>
      <c r="AA27" s="513">
        <f>AA26*-1</f>
        <v>0</v>
      </c>
      <c r="AB27" s="592"/>
      <c r="AC27" s="595"/>
      <c r="AD27" s="601"/>
      <c r="AE27" s="621"/>
      <c r="AF27" s="49"/>
      <c r="AH27" s="669"/>
      <c r="AI27" s="669"/>
      <c r="AJ27" s="669"/>
      <c r="AK27" s="669"/>
      <c r="AL27" s="669"/>
      <c r="AN27" s="669"/>
      <c r="AO27" s="669"/>
      <c r="AP27" s="669"/>
    </row>
    <row r="28" spans="2:42" ht="8.25" customHeight="1" thickBot="1" x14ac:dyDescent="0.25">
      <c r="B28" s="48"/>
      <c r="F28" s="7"/>
      <c r="G28" s="7"/>
      <c r="H28" s="7"/>
      <c r="N28" s="7"/>
      <c r="O28" s="7"/>
      <c r="P28" s="7"/>
      <c r="Q28" s="7"/>
      <c r="R28" s="7"/>
      <c r="S28" s="7"/>
      <c r="T28" s="7"/>
      <c r="U28" s="7"/>
      <c r="V28" s="7"/>
      <c r="W28" s="7"/>
      <c r="X28" s="7"/>
      <c r="Y28" s="7"/>
      <c r="Z28" s="7"/>
      <c r="AA28" s="7"/>
      <c r="AB28" s="7"/>
      <c r="AC28" s="7"/>
      <c r="AF28" s="49"/>
    </row>
    <row r="29" spans="2:42" x14ac:dyDescent="0.2">
      <c r="B29" s="48"/>
      <c r="C29" s="640" t="s">
        <v>270</v>
      </c>
      <c r="D29" s="117"/>
      <c r="E29" s="118" t="s">
        <v>252</v>
      </c>
      <c r="F29" s="483">
        <f>F19+F24</f>
        <v>0</v>
      </c>
      <c r="G29" s="484">
        <f t="shared" ref="G29:I29" si="8">G19+G24</f>
        <v>0</v>
      </c>
      <c r="H29" s="484">
        <f t="shared" si="8"/>
        <v>0</v>
      </c>
      <c r="I29" s="485">
        <f t="shared" si="8"/>
        <v>0</v>
      </c>
      <c r="J29" s="117"/>
      <c r="K29" s="334"/>
      <c r="L29" s="117"/>
      <c r="M29" s="117"/>
      <c r="N29" s="117"/>
      <c r="O29" s="120" t="s">
        <v>268</v>
      </c>
      <c r="P29" s="118"/>
      <c r="Q29" s="118"/>
      <c r="R29" s="118"/>
      <c r="S29" s="118"/>
      <c r="T29" s="118"/>
      <c r="U29" s="120" t="s">
        <v>269</v>
      </c>
      <c r="V29" s="120" t="s">
        <v>466</v>
      </c>
      <c r="W29" s="120" t="s">
        <v>550</v>
      </c>
      <c r="X29" s="118"/>
      <c r="Y29" s="120" t="s">
        <v>770</v>
      </c>
      <c r="Z29" s="120"/>
      <c r="AA29" s="120" t="s">
        <v>771</v>
      </c>
      <c r="AB29" s="596">
        <f>F30+O30+U30+V30+W30+Y30+AA30</f>
        <v>0</v>
      </c>
      <c r="AC29" s="598">
        <f>AB29-I30</f>
        <v>0</v>
      </c>
      <c r="AD29" s="626">
        <f>IF(AC29&lt;0,AC29*-1,0)</f>
        <v>0</v>
      </c>
      <c r="AE29" s="604">
        <f>IF(AC29&gt;0,AC29,0)</f>
        <v>0</v>
      </c>
      <c r="AF29" s="49"/>
    </row>
    <row r="30" spans="2:42" ht="13.5" thickBot="1" x14ac:dyDescent="0.25">
      <c r="B30" s="48"/>
      <c r="C30" s="641"/>
      <c r="D30" s="121"/>
      <c r="E30" s="122" t="s">
        <v>112</v>
      </c>
      <c r="F30" s="486">
        <f>F22+F27</f>
        <v>0</v>
      </c>
      <c r="G30" s="487">
        <f t="shared" ref="G30:I30" si="9">G22+G27</f>
        <v>0</v>
      </c>
      <c r="H30" s="487">
        <f t="shared" si="9"/>
        <v>0</v>
      </c>
      <c r="I30" s="488">
        <f t="shared" si="9"/>
        <v>0</v>
      </c>
      <c r="J30" s="327"/>
      <c r="K30" s="335"/>
      <c r="L30" s="121"/>
      <c r="M30" s="121"/>
      <c r="N30" s="327"/>
      <c r="O30" s="487">
        <f>O22+Q22+O27+Q27</f>
        <v>0</v>
      </c>
      <c r="P30" s="327"/>
      <c r="Q30" s="327"/>
      <c r="R30" s="327"/>
      <c r="S30" s="121"/>
      <c r="T30" s="121"/>
      <c r="U30" s="487">
        <f>S6+U6+S51+U51+S11+U11+S92+U92</f>
        <v>0</v>
      </c>
      <c r="V30" s="487">
        <f>V22+V27</f>
        <v>0</v>
      </c>
      <c r="W30" s="487">
        <f>W22+W27</f>
        <v>0</v>
      </c>
      <c r="X30" s="327"/>
      <c r="Y30" s="487">
        <f>Y22+Y27</f>
        <v>0</v>
      </c>
      <c r="Z30" s="327"/>
      <c r="AA30" s="487">
        <f>AA22+AA27</f>
        <v>0</v>
      </c>
      <c r="AB30" s="597"/>
      <c r="AC30" s="599"/>
      <c r="AD30" s="627"/>
      <c r="AE30" s="605"/>
      <c r="AF30" s="49"/>
      <c r="AG30" s="7"/>
    </row>
    <row r="31" spans="2:42" ht="7.5" customHeight="1" thickBot="1" x14ac:dyDescent="0.25">
      <c r="B31" s="51"/>
      <c r="C31" s="324"/>
      <c r="D31" s="52"/>
      <c r="E31" s="53"/>
      <c r="F31" s="54"/>
      <c r="G31" s="54"/>
      <c r="H31" s="54"/>
      <c r="I31" s="52"/>
      <c r="J31" s="52"/>
      <c r="K31" s="336"/>
      <c r="L31" s="52"/>
      <c r="M31" s="52"/>
      <c r="N31" s="54"/>
      <c r="O31" s="54"/>
      <c r="P31" s="54"/>
      <c r="Q31" s="54"/>
      <c r="R31" s="54"/>
      <c r="S31" s="54"/>
      <c r="T31" s="54"/>
      <c r="U31" s="54"/>
      <c r="V31" s="54"/>
      <c r="W31" s="54"/>
      <c r="X31" s="54"/>
      <c r="Y31" s="54"/>
      <c r="Z31" s="54"/>
      <c r="AA31" s="54"/>
      <c r="AB31" s="54"/>
      <c r="AC31" s="54"/>
      <c r="AD31" s="52"/>
      <c r="AE31" s="52"/>
      <c r="AF31" s="55"/>
    </row>
    <row r="32" spans="2:42" ht="14.25" thickTop="1" thickBot="1" x14ac:dyDescent="0.25">
      <c r="F32" s="7">
        <f>F7+F12+F22+F27</f>
        <v>0</v>
      </c>
      <c r="G32" s="7"/>
      <c r="H32" s="7"/>
      <c r="I32" s="7">
        <f>I7+I12+I22+I27</f>
        <v>0</v>
      </c>
      <c r="J32" s="7"/>
      <c r="N32" s="7"/>
      <c r="O32" s="7"/>
      <c r="P32" s="7"/>
      <c r="Q32" s="7"/>
      <c r="R32" s="7"/>
      <c r="S32" s="7"/>
      <c r="T32" s="7"/>
      <c r="U32" s="7"/>
      <c r="V32" s="7"/>
      <c r="W32" s="7"/>
      <c r="X32" s="7"/>
      <c r="Y32" s="7"/>
      <c r="Z32" s="7"/>
      <c r="AA32" s="7"/>
      <c r="AB32" s="7">
        <f>AB4+AB9++AB19+AB24</f>
        <v>0</v>
      </c>
      <c r="AC32" s="7">
        <f>AC4+AC9+AC19+AC24</f>
        <v>0</v>
      </c>
      <c r="AD32" s="7"/>
    </row>
    <row r="33" spans="2:38" ht="7.5" customHeight="1" thickTop="1" thickBot="1" x14ac:dyDescent="0.25">
      <c r="B33" s="56"/>
      <c r="C33" s="325"/>
      <c r="D33" s="57"/>
      <c r="E33" s="58"/>
      <c r="F33" s="61"/>
      <c r="G33" s="61"/>
      <c r="H33" s="61"/>
      <c r="I33" s="57"/>
      <c r="J33" s="57"/>
      <c r="K33" s="337"/>
      <c r="L33" s="57"/>
      <c r="M33" s="57"/>
      <c r="N33" s="61"/>
      <c r="O33" s="61"/>
      <c r="P33" s="61"/>
      <c r="Q33" s="61"/>
      <c r="R33" s="61"/>
      <c r="S33" s="61"/>
      <c r="T33" s="61"/>
      <c r="U33" s="61"/>
      <c r="V33" s="61"/>
      <c r="W33" s="61"/>
      <c r="X33" s="61"/>
      <c r="Y33" s="61"/>
      <c r="Z33" s="61"/>
      <c r="AA33" s="61"/>
      <c r="AB33" s="61"/>
      <c r="AC33" s="61"/>
      <c r="AD33" s="57"/>
      <c r="AE33" s="57"/>
      <c r="AF33" s="59"/>
    </row>
    <row r="34" spans="2:38" ht="15" customHeight="1" x14ac:dyDescent="0.2">
      <c r="B34" s="48"/>
      <c r="C34" s="648" t="s">
        <v>261</v>
      </c>
      <c r="D34" s="31"/>
      <c r="E34" s="33" t="s">
        <v>252</v>
      </c>
      <c r="F34" s="489">
        <f>VLOOKUP($C$1,Daten[],36,0)</f>
        <v>0</v>
      </c>
      <c r="G34" s="576">
        <v>0</v>
      </c>
      <c r="H34" s="520"/>
      <c r="I34" s="491">
        <f>G34+H34</f>
        <v>0</v>
      </c>
      <c r="J34" s="31"/>
      <c r="K34" s="340"/>
      <c r="L34" s="514"/>
      <c r="M34" s="63"/>
      <c r="N34" s="31"/>
      <c r="O34" s="31"/>
      <c r="P34" s="31"/>
      <c r="Q34" s="31"/>
      <c r="R34" s="31"/>
      <c r="S34" s="31"/>
      <c r="T34" s="31"/>
      <c r="U34" s="31"/>
      <c r="V34" s="31"/>
      <c r="W34" s="31"/>
      <c r="X34" s="31"/>
      <c r="Y34" s="31"/>
      <c r="Z34" s="31"/>
      <c r="AA34" s="525"/>
      <c r="AB34" s="534"/>
      <c r="AC34" s="602">
        <f>F35-I35</f>
        <v>0</v>
      </c>
      <c r="AD34" s="536"/>
      <c r="AE34" s="600">
        <f>IF(AC34&gt;0,AC34,0)</f>
        <v>0</v>
      </c>
      <c r="AF34" s="49"/>
      <c r="AH34" s="669"/>
      <c r="AI34" s="669"/>
      <c r="AJ34" s="669"/>
      <c r="AK34" s="669"/>
      <c r="AL34" s="669"/>
    </row>
    <row r="35" spans="2:38" ht="15" customHeight="1" thickBot="1" x14ac:dyDescent="0.25">
      <c r="B35" s="48"/>
      <c r="C35" s="649"/>
      <c r="D35" s="34"/>
      <c r="E35" s="36" t="s">
        <v>953</v>
      </c>
      <c r="F35" s="490">
        <f>VLOOKUP($C$1,Daten[],37,0)</f>
        <v>0</v>
      </c>
      <c r="G35" s="577">
        <v>0</v>
      </c>
      <c r="H35" s="521"/>
      <c r="I35" s="492">
        <f>G35+H35</f>
        <v>0</v>
      </c>
      <c r="J35" s="102"/>
      <c r="K35" s="339"/>
      <c r="L35" s="526"/>
      <c r="M35" s="34"/>
      <c r="N35" s="527"/>
      <c r="O35" s="528"/>
      <c r="P35" s="527"/>
      <c r="Q35" s="528"/>
      <c r="R35" s="527"/>
      <c r="S35" s="528"/>
      <c r="T35" s="527"/>
      <c r="U35" s="528"/>
      <c r="V35" s="528"/>
      <c r="W35" s="527"/>
      <c r="X35" s="527"/>
      <c r="Y35" s="527"/>
      <c r="Z35" s="527"/>
      <c r="AA35" s="529"/>
      <c r="AB35" s="535"/>
      <c r="AC35" s="603"/>
      <c r="AD35" s="537"/>
      <c r="AE35" s="601"/>
      <c r="AF35" s="49"/>
      <c r="AH35" s="669"/>
      <c r="AI35" s="669"/>
      <c r="AJ35" s="669"/>
      <c r="AK35" s="669"/>
      <c r="AL35" s="669"/>
    </row>
    <row r="36" spans="2:38" ht="13.5" thickBot="1" x14ac:dyDescent="0.25">
      <c r="B36" s="48"/>
      <c r="C36" s="650"/>
      <c r="D36" s="364"/>
      <c r="F36" s="7"/>
      <c r="G36" s="355"/>
      <c r="H36" s="355"/>
      <c r="I36" s="380"/>
      <c r="J36" s="380"/>
      <c r="K36" s="381"/>
      <c r="L36" s="364"/>
      <c r="N36" s="356"/>
      <c r="O36" s="357"/>
      <c r="P36" s="356"/>
      <c r="Q36" s="357"/>
      <c r="R36" s="356"/>
      <c r="S36" s="357"/>
      <c r="T36" s="356"/>
      <c r="U36" s="357"/>
      <c r="V36" s="357"/>
      <c r="W36" s="356"/>
      <c r="X36" s="356"/>
      <c r="Y36" s="356"/>
      <c r="Z36" s="356"/>
      <c r="AA36" s="378"/>
      <c r="AB36" s="364"/>
      <c r="AC36" s="379"/>
      <c r="AD36" s="364"/>
      <c r="AE36" s="377"/>
      <c r="AF36" s="49"/>
    </row>
    <row r="37" spans="2:38" ht="15" customHeight="1" x14ac:dyDescent="0.25">
      <c r="B37" s="48"/>
      <c r="C37" s="649"/>
      <c r="D37" s="31"/>
      <c r="E37" s="33" t="s">
        <v>782</v>
      </c>
      <c r="F37" s="524"/>
      <c r="G37" s="578">
        <v>0</v>
      </c>
      <c r="H37" s="522"/>
      <c r="I37" s="493">
        <f>G37+H37</f>
        <v>0</v>
      </c>
      <c r="J37" s="376"/>
      <c r="K37" s="340"/>
      <c r="L37" s="514"/>
      <c r="M37" s="31"/>
      <c r="N37" s="63" t="s">
        <v>250</v>
      </c>
      <c r="O37" s="63"/>
      <c r="P37" s="63" t="s">
        <v>262</v>
      </c>
      <c r="Q37" s="63"/>
      <c r="R37" s="63" t="s">
        <v>245</v>
      </c>
      <c r="S37" s="63"/>
      <c r="T37" s="63" t="s">
        <v>246</v>
      </c>
      <c r="U37" s="653" t="str">
        <f>IF(I38&gt;0,"Umschichtungen zu InSuPart nur nach Genehmigung durch die NA erlaubt!","")</f>
        <v/>
      </c>
      <c r="V37" s="653"/>
      <c r="W37" s="653"/>
      <c r="X37" s="63" t="s">
        <v>967</v>
      </c>
      <c r="Y37" s="63"/>
      <c r="Z37" s="63" t="s">
        <v>277</v>
      </c>
      <c r="AA37" s="532"/>
      <c r="AB37" s="590">
        <f>N38+P38+R38+T38+X38+Z38</f>
        <v>0</v>
      </c>
      <c r="AC37" s="602">
        <f>AB37-I38</f>
        <v>0</v>
      </c>
      <c r="AD37" s="615" t="str">
        <f>IF(AC37&lt;0,"Bitte schichten Sie den notwendigen Betrag um!",IF(AC37&gt;0,"Bitte korrigieren Sie die Umschichtungen!",""))</f>
        <v/>
      </c>
      <c r="AE37" s="617">
        <f>IF(AC37&gt;0,AC37,0)</f>
        <v>0</v>
      </c>
      <c r="AF37" s="49"/>
      <c r="AH37" s="669" t="str">
        <f>IF(AC37&lt;0,"Bitte schichten Sie den notwendigen Betrag um, um den eingegebenen Betrag berichten zu können!",IF(AC37&gt;0,"Bitte korrigieren Sie die Umschichtungen nach Inclusion Support for Participants! Bei  Umschichtungen nach InSuPart können keine Mittel zurückgegeben werden.",""))</f>
        <v/>
      </c>
      <c r="AI37" s="669"/>
      <c r="AJ37" s="669"/>
      <c r="AK37" s="669"/>
      <c r="AL37" s="669"/>
    </row>
    <row r="38" spans="2:38" ht="15" customHeight="1" thickBot="1" x14ac:dyDescent="0.25">
      <c r="B38" s="48"/>
      <c r="C38" s="651"/>
      <c r="D38" s="34"/>
      <c r="E38" s="36" t="s">
        <v>779</v>
      </c>
      <c r="F38" s="518"/>
      <c r="G38" s="577">
        <v>0</v>
      </c>
      <c r="H38" s="523"/>
      <c r="I38" s="492">
        <f>G38+H38</f>
        <v>0</v>
      </c>
      <c r="J38" s="102"/>
      <c r="K38" s="339"/>
      <c r="L38" s="526"/>
      <c r="M38" s="34"/>
      <c r="N38" s="490">
        <f>V6</f>
        <v>0</v>
      </c>
      <c r="O38" s="34"/>
      <c r="P38" s="490">
        <f>V11</f>
        <v>0</v>
      </c>
      <c r="Q38" s="34"/>
      <c r="R38" s="490">
        <f>V21</f>
        <v>0</v>
      </c>
      <c r="S38" s="34"/>
      <c r="T38" s="490">
        <f>V26</f>
        <v>0</v>
      </c>
      <c r="U38" s="654"/>
      <c r="V38" s="654"/>
      <c r="W38" s="654"/>
      <c r="X38" s="490">
        <f>X35</f>
        <v>0</v>
      </c>
      <c r="Y38" s="99"/>
      <c r="Z38" s="490">
        <f>V92</f>
        <v>0</v>
      </c>
      <c r="AA38" s="533"/>
      <c r="AB38" s="592"/>
      <c r="AC38" s="603"/>
      <c r="AD38" s="616"/>
      <c r="AE38" s="618"/>
      <c r="AF38" s="49"/>
      <c r="AH38" s="669"/>
      <c r="AI38" s="669"/>
      <c r="AJ38" s="669"/>
      <c r="AK38" s="669"/>
      <c r="AL38" s="669"/>
    </row>
    <row r="39" spans="2:38" ht="12.75" customHeight="1" thickBot="1" x14ac:dyDescent="0.25">
      <c r="B39" s="48"/>
      <c r="C39" s="358"/>
      <c r="F39" s="7"/>
      <c r="G39" s="355"/>
      <c r="H39" s="355"/>
      <c r="I39" s="125"/>
      <c r="J39" s="359"/>
      <c r="N39" s="356"/>
      <c r="O39" s="357"/>
      <c r="P39" s="356"/>
      <c r="Q39" s="357"/>
      <c r="R39" s="356"/>
      <c r="S39" s="357"/>
      <c r="T39" s="356"/>
      <c r="U39" s="357"/>
      <c r="V39" s="357"/>
      <c r="W39" s="356"/>
      <c r="X39" s="356"/>
      <c r="Y39" s="356"/>
      <c r="Z39" s="356"/>
      <c r="AA39" s="356"/>
      <c r="AD39" s="127"/>
      <c r="AE39" s="352"/>
      <c r="AF39" s="49"/>
    </row>
    <row r="40" spans="2:38" x14ac:dyDescent="0.2">
      <c r="B40" s="48"/>
      <c r="C40" s="644" t="s">
        <v>783</v>
      </c>
      <c r="D40" s="109"/>
      <c r="E40" s="110" t="s">
        <v>780</v>
      </c>
      <c r="F40" s="353">
        <f>F34</f>
        <v>0</v>
      </c>
      <c r="G40" s="353">
        <f>G34+G37</f>
        <v>0</v>
      </c>
      <c r="H40" s="353">
        <f>H34+H37</f>
        <v>0</v>
      </c>
      <c r="I40" s="360">
        <f>G40+H40</f>
        <v>0</v>
      </c>
      <c r="J40" s="354"/>
      <c r="K40" s="334"/>
      <c r="L40" s="109"/>
      <c r="M40" s="109"/>
      <c r="N40" s="109"/>
      <c r="O40" s="109"/>
      <c r="P40" s="109"/>
      <c r="Q40" s="109"/>
      <c r="R40" s="109"/>
      <c r="S40" s="109"/>
      <c r="T40" s="109"/>
      <c r="U40" s="109"/>
      <c r="V40" s="109"/>
      <c r="W40" s="109"/>
      <c r="X40" s="109"/>
      <c r="Y40" s="109"/>
      <c r="Z40" s="109"/>
      <c r="AA40" s="109"/>
      <c r="AB40" s="109"/>
      <c r="AC40" s="109"/>
      <c r="AD40" s="530"/>
      <c r="AE40" s="604">
        <f>AE34</f>
        <v>0</v>
      </c>
      <c r="AF40" s="49"/>
    </row>
    <row r="41" spans="2:38" ht="13.5" thickBot="1" x14ac:dyDescent="0.25">
      <c r="B41" s="48"/>
      <c r="C41" s="645"/>
      <c r="D41" s="113"/>
      <c r="E41" s="114" t="s">
        <v>781</v>
      </c>
      <c r="F41" s="201">
        <f>F35</f>
        <v>0</v>
      </c>
      <c r="G41" s="201">
        <f>G38+G35</f>
        <v>0</v>
      </c>
      <c r="H41" s="201">
        <f>H38+H35</f>
        <v>0</v>
      </c>
      <c r="I41" s="201">
        <f>I35+I38</f>
        <v>0</v>
      </c>
      <c r="J41" s="115"/>
      <c r="K41" s="335"/>
      <c r="L41" s="113"/>
      <c r="M41" s="113"/>
      <c r="N41" s="113"/>
      <c r="O41" s="113"/>
      <c r="P41" s="113"/>
      <c r="Q41" s="113"/>
      <c r="R41" s="113"/>
      <c r="S41" s="113"/>
      <c r="T41" s="113"/>
      <c r="U41" s="113"/>
      <c r="V41" s="113"/>
      <c r="W41" s="113"/>
      <c r="X41" s="113"/>
      <c r="Y41" s="113"/>
      <c r="Z41" s="113"/>
      <c r="AA41" s="113"/>
      <c r="AB41" s="113"/>
      <c r="AC41" s="113"/>
      <c r="AD41" s="531"/>
      <c r="AE41" s="659"/>
      <c r="AF41" s="49"/>
    </row>
    <row r="42" spans="2:38" ht="7.5" customHeight="1" thickBot="1" x14ac:dyDescent="0.25">
      <c r="B42" s="51"/>
      <c r="C42" s="324"/>
      <c r="D42" s="52"/>
      <c r="E42" s="53"/>
      <c r="F42" s="54"/>
      <c r="G42" s="54"/>
      <c r="H42" s="54"/>
      <c r="I42" s="52"/>
      <c r="J42" s="52"/>
      <c r="K42" s="336"/>
      <c r="L42" s="52"/>
      <c r="M42" s="52"/>
      <c r="N42" s="54"/>
      <c r="O42" s="54"/>
      <c r="P42" s="54"/>
      <c r="Q42" s="54"/>
      <c r="R42" s="54"/>
      <c r="S42" s="54"/>
      <c r="T42" s="54"/>
      <c r="U42" s="54"/>
      <c r="V42" s="54"/>
      <c r="W42" s="54"/>
      <c r="X42" s="54"/>
      <c r="Y42" s="54"/>
      <c r="Z42" s="54"/>
      <c r="AA42" s="54"/>
      <c r="AB42" s="54"/>
      <c r="AC42" s="54"/>
      <c r="AD42" s="52"/>
      <c r="AE42" s="52"/>
      <c r="AF42" s="55"/>
    </row>
    <row r="43" spans="2:38" ht="14.25" thickTop="1" thickBot="1" x14ac:dyDescent="0.25">
      <c r="F43" s="7"/>
      <c r="G43" s="7"/>
      <c r="H43" s="7"/>
      <c r="N43" s="7"/>
      <c r="O43" s="7"/>
      <c r="P43" s="7"/>
      <c r="Q43" s="7"/>
      <c r="R43" s="7"/>
      <c r="S43" s="7"/>
      <c r="T43" s="7"/>
      <c r="U43" s="7"/>
      <c r="V43" s="7"/>
      <c r="W43" s="7"/>
      <c r="X43" s="7"/>
      <c r="Y43" s="7"/>
      <c r="Z43" s="7"/>
      <c r="AA43" s="7"/>
      <c r="AB43" s="7"/>
      <c r="AC43" s="7"/>
    </row>
    <row r="44" spans="2:38" ht="7.5" customHeight="1" thickTop="1" thickBot="1" x14ac:dyDescent="0.25">
      <c r="B44" s="56"/>
      <c r="C44" s="325"/>
      <c r="D44" s="57"/>
      <c r="E44" s="58"/>
      <c r="F44" s="61"/>
      <c r="G44" s="57"/>
      <c r="H44" s="57"/>
      <c r="I44" s="57"/>
      <c r="J44" s="57"/>
      <c r="K44" s="337"/>
      <c r="L44" s="57"/>
      <c r="M44" s="57"/>
      <c r="N44" s="57"/>
      <c r="O44" s="57"/>
      <c r="P44" s="57"/>
      <c r="Q44" s="57"/>
      <c r="R44" s="57"/>
      <c r="S44" s="57"/>
      <c r="T44" s="57"/>
      <c r="U44" s="57"/>
      <c r="V44" s="57"/>
      <c r="W44" s="57"/>
      <c r="X44" s="57"/>
      <c r="Y44" s="57"/>
      <c r="Z44" s="57"/>
      <c r="AA44" s="57"/>
      <c r="AB44" s="57"/>
      <c r="AC44" s="57"/>
      <c r="AD44" s="57"/>
      <c r="AE44" s="57"/>
      <c r="AF44" s="59"/>
    </row>
    <row r="45" spans="2:38" x14ac:dyDescent="0.2">
      <c r="B45" s="48"/>
      <c r="C45" s="637" t="s">
        <v>969</v>
      </c>
      <c r="D45" s="31"/>
      <c r="E45" s="33" t="s">
        <v>252</v>
      </c>
      <c r="F45" s="489">
        <f>VLOOKUP($C$1,Daten[],41,0)</f>
        <v>0</v>
      </c>
      <c r="G45" s="491">
        <f>G4+G9+G19+G24</f>
        <v>0</v>
      </c>
      <c r="H45" s="491">
        <f>H4+H9+H19+H24</f>
        <v>0</v>
      </c>
      <c r="I45" s="491">
        <f>G45+H45</f>
        <v>0</v>
      </c>
      <c r="J45" s="31"/>
      <c r="K45" s="331"/>
      <c r="L45" s="31"/>
      <c r="M45" s="31"/>
      <c r="N45" s="652"/>
      <c r="O45" s="652"/>
      <c r="P45" s="652"/>
      <c r="Q45" s="652"/>
      <c r="R45" s="652"/>
      <c r="S45" s="652"/>
      <c r="T45" s="652"/>
      <c r="U45" s="652"/>
      <c r="V45" s="652"/>
      <c r="W45" s="652"/>
      <c r="X45" s="652"/>
      <c r="Y45" s="652"/>
      <c r="Z45" s="652"/>
      <c r="AA45" s="652"/>
      <c r="AB45" s="542"/>
      <c r="AC45" s="544"/>
      <c r="AD45" s="623">
        <f>IF(AC47&lt;=0,MIN(AC47*-1,(I50+I51)-F46),IF((Y6+Y11+Y21+Y26+Y92)&gt;0,"Bitte korrigieren Sie die Umschichtungen nach OS!",0))</f>
        <v>0</v>
      </c>
      <c r="AE45" s="600">
        <f>IF(AC47&gt;0,AC47,0)</f>
        <v>0</v>
      </c>
      <c r="AF45" s="49"/>
      <c r="AH45" s="671" t="str">
        <f>IF((N47+P47+R47+T47+Z47)&gt;0,"Information: Mit Umschichtungen nach OS beantragen Sie die Ausstellung einer Zusatzvereinbarung. Bitte geben Sie eine Begründung für die gewünschte Umschichtung an.","")</f>
        <v/>
      </c>
      <c r="AI45" s="671"/>
      <c r="AJ45" s="671"/>
      <c r="AK45" s="671"/>
      <c r="AL45" s="671"/>
    </row>
    <row r="46" spans="2:38" ht="12.75" customHeight="1" x14ac:dyDescent="0.2">
      <c r="B46" s="48"/>
      <c r="C46" s="638"/>
      <c r="E46" s="29" t="s">
        <v>112</v>
      </c>
      <c r="F46" s="494">
        <f>VLOOKUP($C$1,Daten[],42,0)</f>
        <v>0</v>
      </c>
      <c r="G46" s="667" t="str">
        <f>IF(AND('Dateneingabe Mobilitäten'!I45&lt;OS!C8,'Dateneingabe Mobilitäten'!I45&gt;OS!C23),"10% Toleranz",IF(I45&lt;(F45*0.9),"ACHTUNG: OS-Mittel werden automatisch reduziert, da um "&amp;(F45-I45)&amp;" Mobilitäten weniger berichtet werden!",""))</f>
        <v/>
      </c>
      <c r="H46" s="667"/>
      <c r="I46" s="538"/>
      <c r="J46" s="7" t="s">
        <v>774</v>
      </c>
      <c r="L46" s="29"/>
      <c r="N46" s="62" t="s">
        <v>250</v>
      </c>
      <c r="P46" s="62" t="s">
        <v>262</v>
      </c>
      <c r="R46" s="62" t="s">
        <v>245</v>
      </c>
      <c r="T46" s="62" t="s">
        <v>246</v>
      </c>
      <c r="W46" s="356"/>
      <c r="X46" s="356"/>
      <c r="Y46" s="540"/>
      <c r="Z46" s="62" t="s">
        <v>277</v>
      </c>
      <c r="AB46" s="543"/>
      <c r="AD46" s="624"/>
      <c r="AE46" s="622"/>
      <c r="AF46" s="49"/>
      <c r="AH46" s="671"/>
      <c r="AI46" s="671"/>
      <c r="AJ46" s="671"/>
      <c r="AK46" s="671"/>
      <c r="AL46" s="671"/>
    </row>
    <row r="47" spans="2:38" x14ac:dyDescent="0.2">
      <c r="B47" s="48"/>
      <c r="C47" s="638"/>
      <c r="F47" s="517"/>
      <c r="G47" s="667"/>
      <c r="H47" s="667"/>
      <c r="I47" s="517"/>
      <c r="J47" s="7" t="s">
        <v>775</v>
      </c>
      <c r="K47" s="470"/>
      <c r="L47" s="29"/>
      <c r="N47" s="494">
        <f>Y6</f>
        <v>0</v>
      </c>
      <c r="P47" s="494">
        <f>Y11</f>
        <v>0</v>
      </c>
      <c r="R47" s="494">
        <f>Y21</f>
        <v>0</v>
      </c>
      <c r="T47" s="494">
        <f>Y26</f>
        <v>0</v>
      </c>
      <c r="X47" s="356"/>
      <c r="Y47" s="356"/>
      <c r="Z47" s="494">
        <f>Y92</f>
        <v>0</v>
      </c>
      <c r="AB47" s="551">
        <f>F46+N47+P47+R47+T47+Z47</f>
        <v>0</v>
      </c>
      <c r="AC47" s="552">
        <f>AB47-(I50)</f>
        <v>0</v>
      </c>
      <c r="AD47" s="624"/>
      <c r="AE47" s="622"/>
      <c r="AF47" s="49"/>
      <c r="AH47" s="671"/>
      <c r="AI47" s="671"/>
      <c r="AJ47" s="671"/>
      <c r="AK47" s="671"/>
      <c r="AL47" s="671"/>
    </row>
    <row r="48" spans="2:38" x14ac:dyDescent="0.2">
      <c r="B48" s="48"/>
      <c r="C48" s="638"/>
      <c r="E48" s="1"/>
      <c r="F48" s="539"/>
      <c r="G48" s="667"/>
      <c r="H48" s="667"/>
      <c r="I48" s="517"/>
      <c r="J48" s="1" t="s">
        <v>776</v>
      </c>
      <c r="K48" s="338"/>
      <c r="L48" s="29"/>
      <c r="AB48" s="543"/>
      <c r="AD48" s="624"/>
      <c r="AE48" s="622"/>
      <c r="AF48" s="49"/>
    </row>
    <row r="49" spans="2:38" x14ac:dyDescent="0.2">
      <c r="B49" s="48"/>
      <c r="C49" s="638"/>
      <c r="E49" s="382" t="s">
        <v>383</v>
      </c>
      <c r="F49" s="539"/>
      <c r="G49" s="667"/>
      <c r="H49" s="667"/>
      <c r="I49" s="494">
        <f>OS!G31</f>
        <v>0</v>
      </c>
      <c r="K49" s="338"/>
      <c r="L49" s="29"/>
      <c r="AB49" s="543"/>
      <c r="AD49" s="624"/>
      <c r="AE49" s="622"/>
      <c r="AF49" s="49"/>
    </row>
    <row r="50" spans="2:38" ht="12.75" customHeight="1" x14ac:dyDescent="0.2">
      <c r="B50" s="48"/>
      <c r="C50" s="638"/>
      <c r="E50" s="29" t="s">
        <v>947</v>
      </c>
      <c r="F50" s="517"/>
      <c r="G50" s="655" t="str">
        <f>IF((I52+I51)&lt;I50,"[davon für OS] + [für Umschichtung  verfügbar] MUSS gleich [beansprucht] sein","")</f>
        <v/>
      </c>
      <c r="H50" s="655"/>
      <c r="I50" s="384">
        <v>0</v>
      </c>
      <c r="K50" s="338"/>
      <c r="L50" s="29"/>
      <c r="M50" s="29" t="s">
        <v>784</v>
      </c>
      <c r="N50" s="7"/>
      <c r="O50" s="62" t="s">
        <v>249</v>
      </c>
      <c r="P50" s="7"/>
      <c r="Q50" s="62" t="s">
        <v>263</v>
      </c>
      <c r="R50" s="7"/>
      <c r="S50" s="62" t="s">
        <v>247</v>
      </c>
      <c r="T50" s="7"/>
      <c r="U50" s="62" t="s">
        <v>248</v>
      </c>
      <c r="V50" s="62" t="s">
        <v>466</v>
      </c>
      <c r="W50" s="62" t="s">
        <v>550</v>
      </c>
      <c r="X50" s="356"/>
      <c r="Z50" s="7"/>
      <c r="AA50" s="62" t="s">
        <v>771</v>
      </c>
      <c r="AB50" s="545"/>
      <c r="AC50" s="548"/>
      <c r="AD50" s="624"/>
      <c r="AE50" s="622"/>
      <c r="AF50" s="49"/>
      <c r="AH50" s="669" t="str">
        <f>IF(AND(I50&lt;F46,(N47+P47+R47+T47+Z47)&gt;0),"Es darf nicht nach OS Umgeschichtet werden, da weniger berichtet wird, als lt. Vereinbarung möglich ist !",IF(AND(AC47&gt;0,(Y6+Y11+Y21+Y26+Y92)&gt;0),"Bitte korrigieren Sie die Umschichtungen nach OS!",IF(AND((N47+P47+R47+T47+Z47)&gt;0,(O51+Q51+S51+U51+V51+W51+AA51)&gt;0), "Gleichzeitige Umschichtungen von und nach OS sind nicht möglich","")))</f>
        <v/>
      </c>
      <c r="AI50" s="669"/>
      <c r="AJ50" s="669"/>
      <c r="AK50" s="669"/>
      <c r="AL50" s="669"/>
    </row>
    <row r="51" spans="2:38" ht="12.75" customHeight="1" x14ac:dyDescent="0.2">
      <c r="B51" s="48"/>
      <c r="C51" s="638"/>
      <c r="D51" s="459"/>
      <c r="E51" s="382" t="s">
        <v>948</v>
      </c>
      <c r="F51" s="517"/>
      <c r="G51" s="655"/>
      <c r="H51" s="655"/>
      <c r="I51" s="384">
        <v>0</v>
      </c>
      <c r="J51" s="348" t="s">
        <v>777</v>
      </c>
      <c r="K51" s="338"/>
      <c r="L51" s="29"/>
      <c r="M51" s="512">
        <f>ROUND(MIN(I50-I51,F46),2)</f>
        <v>0</v>
      </c>
      <c r="O51" s="232">
        <v>0</v>
      </c>
      <c r="Q51" s="232">
        <v>0</v>
      </c>
      <c r="S51" s="232">
        <v>0</v>
      </c>
      <c r="U51" s="232">
        <v>0</v>
      </c>
      <c r="V51" s="232">
        <v>0</v>
      </c>
      <c r="W51" s="232">
        <v>0</v>
      </c>
      <c r="X51" s="541"/>
      <c r="Z51" s="10"/>
      <c r="AA51" s="471">
        <v>0</v>
      </c>
      <c r="AB51" s="543"/>
      <c r="AC51" s="546"/>
      <c r="AD51" s="624"/>
      <c r="AE51" s="622"/>
      <c r="AF51" s="49"/>
      <c r="AH51" s="669"/>
      <c r="AI51" s="669"/>
      <c r="AJ51" s="669"/>
      <c r="AK51" s="669"/>
      <c r="AL51" s="669"/>
    </row>
    <row r="52" spans="2:38" ht="13.5" thickBot="1" x14ac:dyDescent="0.25">
      <c r="B52" s="48"/>
      <c r="C52" s="639"/>
      <c r="D52" s="34"/>
      <c r="E52" s="34"/>
      <c r="F52" s="36" t="s">
        <v>949</v>
      </c>
      <c r="G52" s="656"/>
      <c r="H52" s="656"/>
      <c r="I52" s="490">
        <f>ROUND(MIN(I50-I51,F46),2)</f>
        <v>0</v>
      </c>
      <c r="J52" s="99" t="s">
        <v>778</v>
      </c>
      <c r="K52" s="383"/>
      <c r="L52" s="36"/>
      <c r="M52" s="99"/>
      <c r="N52" s="34"/>
      <c r="O52" s="490">
        <f>O51*-1</f>
        <v>0</v>
      </c>
      <c r="P52" s="34"/>
      <c r="Q52" s="490">
        <f>Q51*-1</f>
        <v>0</v>
      </c>
      <c r="R52" s="34"/>
      <c r="S52" s="490">
        <f>S51*-1</f>
        <v>0</v>
      </c>
      <c r="T52" s="34"/>
      <c r="U52" s="490">
        <f>U51*-1</f>
        <v>0</v>
      </c>
      <c r="V52" s="490">
        <f>V51*-1</f>
        <v>0</v>
      </c>
      <c r="W52" s="490">
        <f>W51*-1</f>
        <v>0</v>
      </c>
      <c r="X52" s="527"/>
      <c r="Y52" s="527"/>
      <c r="Z52" s="34"/>
      <c r="AA52" s="490">
        <f>AA51*-1</f>
        <v>0</v>
      </c>
      <c r="AB52" s="560"/>
      <c r="AC52" s="547"/>
      <c r="AD52" s="625"/>
      <c r="AE52" s="601"/>
      <c r="AF52" s="49"/>
      <c r="AH52" s="669"/>
      <c r="AI52" s="669"/>
      <c r="AJ52" s="669"/>
      <c r="AK52" s="669"/>
      <c r="AL52" s="669"/>
    </row>
    <row r="53" spans="2:38" ht="8.25" customHeight="1" thickBot="1" x14ac:dyDescent="0.25">
      <c r="B53" s="48"/>
      <c r="AF53" s="49"/>
    </row>
    <row r="54" spans="2:38" ht="12.75" customHeight="1" x14ac:dyDescent="0.2">
      <c r="B54" s="48"/>
      <c r="C54" s="637" t="s">
        <v>260</v>
      </c>
      <c r="D54" s="31"/>
      <c r="E54" s="33" t="s">
        <v>252</v>
      </c>
      <c r="F54" s="489">
        <f>VLOOKUP($C$1,Daten[],38,0)</f>
        <v>0</v>
      </c>
      <c r="G54" s="495">
        <f>G40</f>
        <v>0</v>
      </c>
      <c r="H54" s="495"/>
      <c r="I54" s="489">
        <f>G54+H54</f>
        <v>0</v>
      </c>
      <c r="J54" s="108"/>
      <c r="K54" s="340"/>
      <c r="L54" s="31"/>
      <c r="M54" s="63"/>
      <c r="N54" s="31"/>
      <c r="O54" s="63"/>
      <c r="P54" s="31"/>
      <c r="Q54" s="63"/>
      <c r="R54" s="31"/>
      <c r="S54" s="63"/>
      <c r="T54" s="31"/>
      <c r="U54" s="63"/>
      <c r="V54" s="63"/>
      <c r="W54" s="63"/>
      <c r="X54" s="31"/>
      <c r="Y54" s="60"/>
      <c r="Z54" s="31"/>
      <c r="AA54" s="63"/>
      <c r="AB54" s="449"/>
      <c r="AC54" s="43"/>
      <c r="AD54" s="615" t="str">
        <f>IF(AND(AC56&gt;0,(N56+P56+R56+T56+X56+Z56)&gt;0),"Bitte korrigieren Sie die Umschichtungen!","")</f>
        <v/>
      </c>
      <c r="AE54" s="600">
        <f>IF(AC56&gt;0,AC56,0)</f>
        <v>0</v>
      </c>
      <c r="AF54" s="49"/>
      <c r="AH54" s="669" t="str">
        <f>IF(AND(AC56&gt;0,(N56+P56+R56+T56+X56+Z56)&gt;0),"Bitte korrigieren Sie die Umschichtungen nach Inclusion Support for HEI oder ändern Sie den berichteten Betrag! Bei Umschichtungen nach InSuHEI können keine Mittel zurückgegeben werden.",IF(I57&gt;I56,"Es kann nicht mehr berichtet werden, als zu InSuHEI umgeschichtet wurde.",""))</f>
        <v/>
      </c>
      <c r="AI54" s="669"/>
      <c r="AJ54" s="669"/>
      <c r="AK54" s="669"/>
      <c r="AL54" s="669"/>
    </row>
    <row r="55" spans="2:38" ht="13.5" x14ac:dyDescent="0.25">
      <c r="B55" s="48"/>
      <c r="C55" s="638"/>
      <c r="E55" s="29" t="s">
        <v>112</v>
      </c>
      <c r="F55" s="494">
        <f>VLOOKUP($C$1,Daten[],39,0)</f>
        <v>0</v>
      </c>
      <c r="G55" s="498"/>
      <c r="H55" s="498"/>
      <c r="I55" s="498"/>
      <c r="J55" s="7"/>
      <c r="L55" s="29"/>
      <c r="M55" s="106"/>
      <c r="N55" s="62" t="s">
        <v>250</v>
      </c>
      <c r="P55" s="62" t="s">
        <v>262</v>
      </c>
      <c r="R55" s="62" t="s">
        <v>245</v>
      </c>
      <c r="T55" s="62" t="s">
        <v>246</v>
      </c>
      <c r="X55" s="62" t="s">
        <v>967</v>
      </c>
      <c r="Z55" s="62" t="s">
        <v>277</v>
      </c>
      <c r="AB55" s="543"/>
      <c r="AC55" s="12"/>
      <c r="AD55" s="666"/>
      <c r="AE55" s="622"/>
      <c r="AF55" s="49"/>
      <c r="AH55" s="669"/>
      <c r="AI55" s="669"/>
      <c r="AJ55" s="669"/>
      <c r="AK55" s="669"/>
      <c r="AL55" s="669"/>
    </row>
    <row r="56" spans="2:38" x14ac:dyDescent="0.2">
      <c r="B56" s="48"/>
      <c r="C56" s="638"/>
      <c r="E56" s="29" t="s">
        <v>383</v>
      </c>
      <c r="F56" s="494"/>
      <c r="G56" s="498"/>
      <c r="H56" s="498"/>
      <c r="I56" s="494">
        <f>MIN(I40*100,F55+N56+P56+R56+T56+X56+Z56)</f>
        <v>0</v>
      </c>
      <c r="J56" s="320"/>
      <c r="L56" s="29"/>
      <c r="M56" s="106"/>
      <c r="N56" s="494">
        <f>W6</f>
        <v>0</v>
      </c>
      <c r="O56" s="7"/>
      <c r="P56" s="494">
        <f>W11</f>
        <v>0</v>
      </c>
      <c r="Q56" s="7"/>
      <c r="R56" s="494">
        <f>W21</f>
        <v>0</v>
      </c>
      <c r="S56" s="7"/>
      <c r="T56" s="494">
        <f>W26</f>
        <v>0</v>
      </c>
      <c r="X56" s="494">
        <f>W51</f>
        <v>0</v>
      </c>
      <c r="Z56" s="494">
        <f>W92</f>
        <v>0</v>
      </c>
      <c r="AA56" s="7"/>
      <c r="AB56" s="551">
        <f>F55+N56+P56+R56+T56+V56+X56+Z56</f>
        <v>0</v>
      </c>
      <c r="AC56" s="552">
        <f>AB56-I57</f>
        <v>0</v>
      </c>
      <c r="AD56" s="666"/>
      <c r="AE56" s="622"/>
      <c r="AF56" s="49"/>
      <c r="AH56" s="669"/>
      <c r="AI56" s="669"/>
      <c r="AJ56" s="669"/>
      <c r="AK56" s="669"/>
      <c r="AL56" s="669"/>
    </row>
    <row r="57" spans="2:38" ht="13.5" thickBot="1" x14ac:dyDescent="0.25">
      <c r="B57" s="48"/>
      <c r="C57" s="639"/>
      <c r="D57" s="34"/>
      <c r="E57" s="36" t="s">
        <v>594</v>
      </c>
      <c r="F57" s="496"/>
      <c r="G57" s="496"/>
      <c r="H57" s="497"/>
      <c r="I57" s="561">
        <v>0</v>
      </c>
      <c r="J57" s="328"/>
      <c r="K57" s="339"/>
      <c r="L57" s="86"/>
      <c r="M57" s="34"/>
      <c r="N57" s="99"/>
      <c r="O57" s="34"/>
      <c r="P57" s="34"/>
      <c r="Q57" s="34"/>
      <c r="R57" s="34"/>
      <c r="S57" s="34"/>
      <c r="T57" s="34"/>
      <c r="U57" s="34"/>
      <c r="V57" s="34"/>
      <c r="W57" s="34"/>
      <c r="X57" s="34"/>
      <c r="Y57" s="34"/>
      <c r="Z57" s="99"/>
      <c r="AA57" s="99"/>
      <c r="AB57" s="549"/>
      <c r="AC57" s="550"/>
      <c r="AD57" s="616"/>
      <c r="AE57" s="601"/>
      <c r="AF57" s="49"/>
      <c r="AH57" s="669"/>
      <c r="AI57" s="669"/>
      <c r="AJ57" s="669"/>
      <c r="AK57" s="669"/>
      <c r="AL57" s="669"/>
    </row>
    <row r="58" spans="2:38" ht="7.5" customHeight="1" thickBot="1" x14ac:dyDescent="0.25">
      <c r="B58" s="51"/>
      <c r="C58" s="324"/>
      <c r="D58" s="52"/>
      <c r="E58" s="53"/>
      <c r="F58" s="52"/>
      <c r="G58" s="52"/>
      <c r="H58" s="52"/>
      <c r="I58" s="52"/>
      <c r="J58" s="52"/>
      <c r="K58" s="336"/>
      <c r="L58" s="52"/>
      <c r="M58" s="52"/>
      <c r="N58" s="52"/>
      <c r="O58" s="52"/>
      <c r="P58" s="52"/>
      <c r="Q58" s="52"/>
      <c r="R58" s="52"/>
      <c r="S58" s="52"/>
      <c r="T58" s="52"/>
      <c r="U58" s="52"/>
      <c r="V58" s="52"/>
      <c r="W58" s="52"/>
      <c r="X58" s="52"/>
      <c r="Y58" s="52"/>
      <c r="Z58" s="52"/>
      <c r="AA58" s="52"/>
      <c r="AB58" s="52"/>
      <c r="AC58" s="52"/>
      <c r="AD58" s="52"/>
      <c r="AE58" s="52"/>
      <c r="AF58" s="55"/>
    </row>
    <row r="59" spans="2:38" ht="14.25" thickTop="1" thickBot="1" x14ac:dyDescent="0.25"/>
    <row r="60" spans="2:38" ht="7.5" customHeight="1" thickTop="1" x14ac:dyDescent="0.2">
      <c r="B60" s="56"/>
      <c r="C60" s="325"/>
      <c r="D60" s="57"/>
      <c r="E60" s="58"/>
      <c r="F60" s="57"/>
      <c r="G60" s="57"/>
      <c r="H60" s="57"/>
      <c r="I60" s="57"/>
      <c r="J60" s="57"/>
      <c r="K60" s="337"/>
      <c r="L60" s="57"/>
      <c r="M60" s="57"/>
      <c r="N60" s="57"/>
      <c r="O60" s="57"/>
      <c r="P60" s="57"/>
      <c r="Q60" s="57"/>
      <c r="R60" s="57"/>
      <c r="S60" s="57"/>
      <c r="T60" s="57"/>
      <c r="U60" s="57"/>
      <c r="V60" s="57"/>
      <c r="W60" s="57"/>
      <c r="X60" s="57"/>
      <c r="Y60" s="57"/>
      <c r="Z60" s="57"/>
      <c r="AA60" s="57"/>
      <c r="AB60" s="57"/>
      <c r="AC60" s="57"/>
      <c r="AD60" s="57"/>
      <c r="AE60" s="57"/>
      <c r="AF60" s="59"/>
    </row>
    <row r="61" spans="2:38" ht="18" customHeight="1" x14ac:dyDescent="0.2">
      <c r="B61" s="48"/>
      <c r="C61" s="155" t="s">
        <v>970</v>
      </c>
      <c r="AF61" s="49"/>
    </row>
    <row r="62" spans="2:38" ht="7.5" customHeight="1" thickBot="1" x14ac:dyDescent="0.25">
      <c r="B62" s="48"/>
      <c r="AF62" s="49"/>
    </row>
    <row r="63" spans="2:38" ht="15.75" x14ac:dyDescent="0.25">
      <c r="B63" s="48"/>
      <c r="C63" s="637" t="s">
        <v>597</v>
      </c>
      <c r="D63" s="31"/>
      <c r="E63" s="33" t="s">
        <v>485</v>
      </c>
      <c r="F63" s="491">
        <f>VLOOKUP($C$1,Daten[],22,0)</f>
        <v>0</v>
      </c>
      <c r="G63" s="343">
        <v>0</v>
      </c>
      <c r="H63" s="343">
        <v>0</v>
      </c>
      <c r="I63" s="491">
        <f>G63+H63</f>
        <v>0</v>
      </c>
      <c r="J63" s="31"/>
      <c r="K63" s="606" t="str">
        <f>IF(I63&gt;F63,"+"&amp;(I63-F63)&amp;" BIP(s)",IF(I63&lt;F63,"-"&amp;(F63-G63)&amp;" BIP(s)",""))</f>
        <v/>
      </c>
      <c r="L63" s="607"/>
      <c r="N63" s="365" t="str">
        <f>IF(OR(I64&lt;&gt;F64,I68&lt;&gt;F68,I72&lt;&gt;F72,I76&lt;&gt;F76,I80&lt;&gt;F80,F84&lt;&gt;I84),"Bitte geben Sie jeweils die  [Blended Intensive Programme ID:] lt. BM sowie die gewünschte Änderung an. Bei neuen BIPs geben Sie bitte den Titel an.","")</f>
        <v/>
      </c>
      <c r="AF63" s="49"/>
    </row>
    <row r="64" spans="2:38" x14ac:dyDescent="0.2">
      <c r="B64" s="48"/>
      <c r="C64" s="638"/>
      <c r="E64" s="29" t="s">
        <v>252</v>
      </c>
      <c r="F64" s="498">
        <f>IFERROR(F63*15,"")</f>
        <v>0</v>
      </c>
      <c r="G64" s="499">
        <f>G63*15</f>
        <v>0</v>
      </c>
      <c r="H64" s="499">
        <f>H63*15</f>
        <v>0</v>
      </c>
      <c r="I64" s="498">
        <f>G64+H64</f>
        <v>0</v>
      </c>
      <c r="L64" s="362"/>
      <c r="N64" s="613"/>
      <c r="O64" s="614"/>
      <c r="P64" s="614"/>
      <c r="Q64" s="614"/>
      <c r="R64" s="614"/>
      <c r="S64" s="614"/>
      <c r="T64" s="614"/>
      <c r="U64" s="614"/>
      <c r="V64" s="614"/>
      <c r="W64" s="614"/>
      <c r="X64" s="614"/>
      <c r="Y64" s="614"/>
      <c r="Z64" s="614"/>
      <c r="AA64" s="614"/>
      <c r="AB64" s="614"/>
      <c r="AC64" s="614"/>
      <c r="AD64" s="614"/>
      <c r="AE64" s="614"/>
      <c r="AF64" s="49"/>
    </row>
    <row r="65" spans="2:32" ht="13.5" thickBot="1" x14ac:dyDescent="0.25">
      <c r="B65" s="48"/>
      <c r="C65" s="639"/>
      <c r="D65" s="196" t="s">
        <v>279</v>
      </c>
      <c r="E65" s="36" t="s">
        <v>112</v>
      </c>
      <c r="F65" s="490">
        <f>VLOOKUP($C$1,Daten[],23,0)</f>
        <v>0</v>
      </c>
      <c r="G65" s="500">
        <f>G64*(VLOOKUP($D65,Steuerung!$Q$2:$R$6,2,0))</f>
        <v>0</v>
      </c>
      <c r="H65" s="500">
        <f>H64*(VLOOKUP($D65,Steuerung!$Q$2:$R$6,2,0))</f>
        <v>0</v>
      </c>
      <c r="I65" s="492">
        <f>G65+H65</f>
        <v>0</v>
      </c>
      <c r="J65" s="102"/>
      <c r="K65" s="333"/>
      <c r="L65" s="363"/>
      <c r="N65" s="614"/>
      <c r="O65" s="614"/>
      <c r="P65" s="614"/>
      <c r="Q65" s="614"/>
      <c r="R65" s="614"/>
      <c r="S65" s="614"/>
      <c r="T65" s="614"/>
      <c r="U65" s="614"/>
      <c r="V65" s="614"/>
      <c r="W65" s="614"/>
      <c r="X65" s="614"/>
      <c r="Y65" s="614"/>
      <c r="Z65" s="614"/>
      <c r="AA65" s="614"/>
      <c r="AB65" s="614"/>
      <c r="AC65" s="614"/>
      <c r="AD65" s="614"/>
      <c r="AE65" s="614"/>
      <c r="AF65" s="49"/>
    </row>
    <row r="66" spans="2:32" ht="13.5" thickBot="1" x14ac:dyDescent="0.25">
      <c r="B66" s="48"/>
      <c r="L66" s="364"/>
      <c r="N66" s="614"/>
      <c r="O66" s="614"/>
      <c r="P66" s="614"/>
      <c r="Q66" s="614"/>
      <c r="R66" s="614"/>
      <c r="S66" s="614"/>
      <c r="T66" s="614"/>
      <c r="U66" s="614"/>
      <c r="V66" s="614"/>
      <c r="W66" s="614"/>
      <c r="X66" s="614"/>
      <c r="Y66" s="614"/>
      <c r="Z66" s="614"/>
      <c r="AA66" s="614"/>
      <c r="AB66" s="614"/>
      <c r="AC66" s="614"/>
      <c r="AD66" s="614"/>
      <c r="AE66" s="614"/>
      <c r="AF66" s="49"/>
    </row>
    <row r="67" spans="2:32" x14ac:dyDescent="0.2">
      <c r="B67" s="48"/>
      <c r="C67" s="637" t="s">
        <v>598</v>
      </c>
      <c r="D67" s="31"/>
      <c r="E67" s="33" t="s">
        <v>485</v>
      </c>
      <c r="F67" s="491">
        <f>VLOOKUP($C$1,Daten[],24,0)</f>
        <v>0</v>
      </c>
      <c r="G67" s="343">
        <v>0</v>
      </c>
      <c r="H67" s="343">
        <v>0</v>
      </c>
      <c r="I67" s="491">
        <f>G67+H67</f>
        <v>0</v>
      </c>
      <c r="J67" s="31"/>
      <c r="K67" s="606" t="str">
        <f>IF(I67&gt;F67,"+"&amp;(I67-F67)&amp;" BIP(s)",IF(I67&lt;F67,"-"&amp;(F67-G67)&amp;" BIP(s)",""))</f>
        <v/>
      </c>
      <c r="L67" s="607"/>
      <c r="N67" s="614"/>
      <c r="O67" s="614"/>
      <c r="P67" s="614"/>
      <c r="Q67" s="614"/>
      <c r="R67" s="614"/>
      <c r="S67" s="614"/>
      <c r="T67" s="614"/>
      <c r="U67" s="614"/>
      <c r="V67" s="614"/>
      <c r="W67" s="614"/>
      <c r="X67" s="614"/>
      <c r="Y67" s="614"/>
      <c r="Z67" s="614"/>
      <c r="AA67" s="614"/>
      <c r="AB67" s="614"/>
      <c r="AC67" s="614"/>
      <c r="AD67" s="614"/>
      <c r="AE67" s="614"/>
      <c r="AF67" s="49"/>
    </row>
    <row r="68" spans="2:32" x14ac:dyDescent="0.2">
      <c r="B68" s="48"/>
      <c r="C68" s="638"/>
      <c r="E68" s="29" t="s">
        <v>252</v>
      </c>
      <c r="F68" s="498">
        <f>IFERROR(F67*16,"")</f>
        <v>0</v>
      </c>
      <c r="G68" s="499">
        <f>G67*16</f>
        <v>0</v>
      </c>
      <c r="H68" s="499">
        <f>H67*16</f>
        <v>0</v>
      </c>
      <c r="I68" s="498">
        <f>G68+H68</f>
        <v>0</v>
      </c>
      <c r="L68" s="362"/>
      <c r="N68" s="614"/>
      <c r="O68" s="614"/>
      <c r="P68" s="614"/>
      <c r="Q68" s="614"/>
      <c r="R68" s="614"/>
      <c r="S68" s="614"/>
      <c r="T68" s="614"/>
      <c r="U68" s="614"/>
      <c r="V68" s="614"/>
      <c r="W68" s="614"/>
      <c r="X68" s="614"/>
      <c r="Y68" s="614"/>
      <c r="Z68" s="614"/>
      <c r="AA68" s="614"/>
      <c r="AB68" s="614"/>
      <c r="AC68" s="614"/>
      <c r="AD68" s="614"/>
      <c r="AE68" s="614"/>
      <c r="AF68" s="49"/>
    </row>
    <row r="69" spans="2:32" ht="13.5" thickBot="1" x14ac:dyDescent="0.25">
      <c r="B69" s="48"/>
      <c r="C69" s="639"/>
      <c r="D69" s="196" t="s">
        <v>279</v>
      </c>
      <c r="E69" s="36" t="s">
        <v>112</v>
      </c>
      <c r="F69" s="490">
        <f>VLOOKUP($C$1,Daten[],25,0)</f>
        <v>0</v>
      </c>
      <c r="G69" s="500">
        <f>G68*(VLOOKUP($D69,Steuerung!$Q$2:$R$6,2,0))</f>
        <v>0</v>
      </c>
      <c r="H69" s="500">
        <f>H68*(VLOOKUP($D69,Steuerung!$Q$2:$R$6,2,0))</f>
        <v>0</v>
      </c>
      <c r="I69" s="492">
        <f>G69+H69</f>
        <v>0</v>
      </c>
      <c r="J69" s="102"/>
      <c r="K69" s="333"/>
      <c r="L69" s="363"/>
      <c r="N69" s="614"/>
      <c r="O69" s="614"/>
      <c r="P69" s="614"/>
      <c r="Q69" s="614"/>
      <c r="R69" s="614"/>
      <c r="S69" s="614"/>
      <c r="T69" s="614"/>
      <c r="U69" s="614"/>
      <c r="V69" s="614"/>
      <c r="W69" s="614"/>
      <c r="X69" s="614"/>
      <c r="Y69" s="614"/>
      <c r="Z69" s="614"/>
      <c r="AA69" s="614"/>
      <c r="AB69" s="614"/>
      <c r="AC69" s="614"/>
      <c r="AD69" s="614"/>
      <c r="AE69" s="614"/>
      <c r="AF69" s="49"/>
    </row>
    <row r="70" spans="2:32" ht="13.5" thickBot="1" x14ac:dyDescent="0.25">
      <c r="B70" s="48"/>
      <c r="L70" s="364"/>
      <c r="N70" s="614"/>
      <c r="O70" s="614"/>
      <c r="P70" s="614"/>
      <c r="Q70" s="614"/>
      <c r="R70" s="614"/>
      <c r="S70" s="614"/>
      <c r="T70" s="614"/>
      <c r="U70" s="614"/>
      <c r="V70" s="614"/>
      <c r="W70" s="614"/>
      <c r="X70" s="614"/>
      <c r="Y70" s="614"/>
      <c r="Z70" s="614"/>
      <c r="AA70" s="614"/>
      <c r="AB70" s="614"/>
      <c r="AC70" s="614"/>
      <c r="AD70" s="614"/>
      <c r="AE70" s="614"/>
      <c r="AF70" s="49"/>
    </row>
    <row r="71" spans="2:32" x14ac:dyDescent="0.2">
      <c r="B71" s="48"/>
      <c r="C71" s="637" t="s">
        <v>599</v>
      </c>
      <c r="D71" s="31"/>
      <c r="E71" s="33" t="s">
        <v>485</v>
      </c>
      <c r="F71" s="491">
        <f>VLOOKUP($C$1,Daten[],26,0)</f>
        <v>0</v>
      </c>
      <c r="G71" s="343">
        <v>0</v>
      </c>
      <c r="H71" s="343">
        <v>0</v>
      </c>
      <c r="I71" s="491">
        <f>G71+H71</f>
        <v>0</v>
      </c>
      <c r="J71" s="31"/>
      <c r="K71" s="606" t="str">
        <f>IF(I71&gt;F71,"+"&amp;(I71-F71)&amp;" BIP(s)",IF(I71&lt;F71,"-"&amp;(F71-G71)&amp;" BIP(s)",""))</f>
        <v/>
      </c>
      <c r="L71" s="607"/>
      <c r="N71" s="614"/>
      <c r="O71" s="614"/>
      <c r="P71" s="614"/>
      <c r="Q71" s="614"/>
      <c r="R71" s="614"/>
      <c r="S71" s="614"/>
      <c r="T71" s="614"/>
      <c r="U71" s="614"/>
      <c r="V71" s="614"/>
      <c r="W71" s="614"/>
      <c r="X71" s="614"/>
      <c r="Y71" s="614"/>
      <c r="Z71" s="614"/>
      <c r="AA71" s="614"/>
      <c r="AB71" s="614"/>
      <c r="AC71" s="614"/>
      <c r="AD71" s="614"/>
      <c r="AE71" s="614"/>
      <c r="AF71" s="49"/>
    </row>
    <row r="72" spans="2:32" x14ac:dyDescent="0.2">
      <c r="B72" s="48"/>
      <c r="C72" s="638"/>
      <c r="E72" s="29" t="s">
        <v>252</v>
      </c>
      <c r="F72" s="498">
        <f>IFERROR(F71*17,"")</f>
        <v>0</v>
      </c>
      <c r="G72" s="499">
        <f>G71*17</f>
        <v>0</v>
      </c>
      <c r="H72" s="499">
        <f>H71*17</f>
        <v>0</v>
      </c>
      <c r="I72" s="498">
        <f>G72+H72</f>
        <v>0</v>
      </c>
      <c r="K72" s="341"/>
      <c r="L72" s="362"/>
      <c r="N72" s="614"/>
      <c r="O72" s="614"/>
      <c r="P72" s="614"/>
      <c r="Q72" s="614"/>
      <c r="R72" s="614"/>
      <c r="S72" s="614"/>
      <c r="T72" s="614"/>
      <c r="U72" s="614"/>
      <c r="V72" s="614"/>
      <c r="W72" s="614"/>
      <c r="X72" s="614"/>
      <c r="Y72" s="614"/>
      <c r="Z72" s="614"/>
      <c r="AA72" s="614"/>
      <c r="AB72" s="614"/>
      <c r="AC72" s="614"/>
      <c r="AD72" s="614"/>
      <c r="AE72" s="614"/>
      <c r="AF72" s="49"/>
    </row>
    <row r="73" spans="2:32" ht="13.5" thickBot="1" x14ac:dyDescent="0.25">
      <c r="B73" s="48"/>
      <c r="C73" s="639"/>
      <c r="D73" s="196" t="s">
        <v>279</v>
      </c>
      <c r="E73" s="36" t="s">
        <v>112</v>
      </c>
      <c r="F73" s="490">
        <f>VLOOKUP($C$1,Daten[],27,0)</f>
        <v>0</v>
      </c>
      <c r="G73" s="500">
        <f>G72*(VLOOKUP($D73,Steuerung!$Q$2:$R$6,2,0))</f>
        <v>0</v>
      </c>
      <c r="H73" s="500">
        <f>H72*(VLOOKUP($D73,Steuerung!$Q$2:$R$6,2,0))</f>
        <v>0</v>
      </c>
      <c r="I73" s="492">
        <f>G73+H73</f>
        <v>0</v>
      </c>
      <c r="J73" s="102"/>
      <c r="K73" s="333"/>
      <c r="L73" s="363"/>
      <c r="N73" s="614"/>
      <c r="O73" s="614"/>
      <c r="P73" s="614"/>
      <c r="Q73" s="614"/>
      <c r="R73" s="614"/>
      <c r="S73" s="614"/>
      <c r="T73" s="614"/>
      <c r="U73" s="614"/>
      <c r="V73" s="614"/>
      <c r="W73" s="614"/>
      <c r="X73" s="614"/>
      <c r="Y73" s="614"/>
      <c r="Z73" s="614"/>
      <c r="AA73" s="614"/>
      <c r="AB73" s="614"/>
      <c r="AC73" s="614"/>
      <c r="AD73" s="614"/>
      <c r="AE73" s="614"/>
      <c r="AF73" s="49"/>
    </row>
    <row r="74" spans="2:32" ht="13.5" thickBot="1" x14ac:dyDescent="0.25">
      <c r="B74" s="48"/>
      <c r="L74" s="364"/>
      <c r="N74" s="614"/>
      <c r="O74" s="614"/>
      <c r="P74" s="614"/>
      <c r="Q74" s="614"/>
      <c r="R74" s="614"/>
      <c r="S74" s="614"/>
      <c r="T74" s="614"/>
      <c r="U74" s="614"/>
      <c r="V74" s="614"/>
      <c r="W74" s="614"/>
      <c r="X74" s="614"/>
      <c r="Y74" s="614"/>
      <c r="Z74" s="614"/>
      <c r="AA74" s="614"/>
      <c r="AB74" s="614"/>
      <c r="AC74" s="614"/>
      <c r="AD74" s="614"/>
      <c r="AE74" s="614"/>
      <c r="AF74" s="49"/>
    </row>
    <row r="75" spans="2:32" x14ac:dyDescent="0.2">
      <c r="B75" s="48"/>
      <c r="C75" s="637" t="s">
        <v>600</v>
      </c>
      <c r="D75" s="31"/>
      <c r="E75" s="33" t="s">
        <v>485</v>
      </c>
      <c r="F75" s="491">
        <f>VLOOKUP($C$1,Daten[],28,0)</f>
        <v>0</v>
      </c>
      <c r="G75" s="343">
        <v>0</v>
      </c>
      <c r="H75" s="343">
        <v>0</v>
      </c>
      <c r="I75" s="491">
        <f>G75+H75</f>
        <v>0</v>
      </c>
      <c r="J75" s="31"/>
      <c r="K75" s="606" t="str">
        <f>IF(I75&gt;F75,"+"&amp;(I75-F75)&amp;" BIP(s)",IF(I75&lt;F75,"-"&amp;(F75-G75)&amp;" BIP(s)",""))</f>
        <v/>
      </c>
      <c r="L75" s="607"/>
      <c r="N75" s="614"/>
      <c r="O75" s="614"/>
      <c r="P75" s="614"/>
      <c r="Q75" s="614"/>
      <c r="R75" s="614"/>
      <c r="S75" s="614"/>
      <c r="T75" s="614"/>
      <c r="U75" s="614"/>
      <c r="V75" s="614"/>
      <c r="W75" s="614"/>
      <c r="X75" s="614"/>
      <c r="Y75" s="614"/>
      <c r="Z75" s="614"/>
      <c r="AA75" s="614"/>
      <c r="AB75" s="614"/>
      <c r="AC75" s="614"/>
      <c r="AD75" s="614"/>
      <c r="AE75" s="614"/>
      <c r="AF75" s="49"/>
    </row>
    <row r="76" spans="2:32" x14ac:dyDescent="0.2">
      <c r="B76" s="48"/>
      <c r="C76" s="638"/>
      <c r="E76" s="29" t="s">
        <v>252</v>
      </c>
      <c r="F76" s="498">
        <f>IFERROR(F75*18,"")</f>
        <v>0</v>
      </c>
      <c r="G76" s="499">
        <f>G75*18</f>
        <v>0</v>
      </c>
      <c r="H76" s="499">
        <f>H75*18</f>
        <v>0</v>
      </c>
      <c r="I76" s="498">
        <f>G76+H76</f>
        <v>0</v>
      </c>
      <c r="L76" s="362"/>
      <c r="N76" s="614"/>
      <c r="O76" s="614"/>
      <c r="P76" s="614"/>
      <c r="Q76" s="614"/>
      <c r="R76" s="614"/>
      <c r="S76" s="614"/>
      <c r="T76" s="614"/>
      <c r="U76" s="614"/>
      <c r="V76" s="614"/>
      <c r="W76" s="614"/>
      <c r="X76" s="614"/>
      <c r="Y76" s="614"/>
      <c r="Z76" s="614"/>
      <c r="AA76" s="614"/>
      <c r="AB76" s="614"/>
      <c r="AC76" s="614"/>
      <c r="AD76" s="614"/>
      <c r="AE76" s="614"/>
      <c r="AF76" s="49"/>
    </row>
    <row r="77" spans="2:32" ht="13.5" thickBot="1" x14ac:dyDescent="0.25">
      <c r="B77" s="48"/>
      <c r="C77" s="639"/>
      <c r="D77" s="196" t="s">
        <v>279</v>
      </c>
      <c r="E77" s="36" t="s">
        <v>112</v>
      </c>
      <c r="F77" s="490">
        <f>VLOOKUP($C$1,Daten[],29,0)</f>
        <v>0</v>
      </c>
      <c r="G77" s="500">
        <f>G76*(VLOOKUP($D77,Steuerung!$Q$2:$R$6,2,0))</f>
        <v>0</v>
      </c>
      <c r="H77" s="500">
        <f>H76*(VLOOKUP($D77,Steuerung!$Q$2:$R$6,2,0))</f>
        <v>0</v>
      </c>
      <c r="I77" s="492">
        <f>G77+H77</f>
        <v>0</v>
      </c>
      <c r="J77" s="102"/>
      <c r="K77" s="333"/>
      <c r="L77" s="363"/>
      <c r="N77" s="614"/>
      <c r="O77" s="614"/>
      <c r="P77" s="614"/>
      <c r="Q77" s="614"/>
      <c r="R77" s="614"/>
      <c r="S77" s="614"/>
      <c r="T77" s="614"/>
      <c r="U77" s="614"/>
      <c r="V77" s="614"/>
      <c r="W77" s="614"/>
      <c r="X77" s="614"/>
      <c r="Y77" s="614"/>
      <c r="Z77" s="614"/>
      <c r="AA77" s="614"/>
      <c r="AB77" s="614"/>
      <c r="AC77" s="614"/>
      <c r="AD77" s="614"/>
      <c r="AE77" s="614"/>
      <c r="AF77" s="49"/>
    </row>
    <row r="78" spans="2:32" ht="13.5" thickBot="1" x14ac:dyDescent="0.25">
      <c r="B78" s="48"/>
      <c r="L78" s="364"/>
      <c r="N78" s="614"/>
      <c r="O78" s="614"/>
      <c r="P78" s="614"/>
      <c r="Q78" s="614"/>
      <c r="R78" s="614"/>
      <c r="S78" s="614"/>
      <c r="T78" s="614"/>
      <c r="U78" s="614"/>
      <c r="V78" s="614"/>
      <c r="W78" s="614"/>
      <c r="X78" s="614"/>
      <c r="Y78" s="614"/>
      <c r="Z78" s="614"/>
      <c r="AA78" s="614"/>
      <c r="AB78" s="614"/>
      <c r="AC78" s="614"/>
      <c r="AD78" s="614"/>
      <c r="AE78" s="614"/>
      <c r="AF78" s="49"/>
    </row>
    <row r="79" spans="2:32" x14ac:dyDescent="0.2">
      <c r="B79" s="48"/>
      <c r="C79" s="637" t="s">
        <v>601</v>
      </c>
      <c r="D79" s="31"/>
      <c r="E79" s="33" t="s">
        <v>485</v>
      </c>
      <c r="F79" s="491">
        <f>VLOOKUP($C$1,Daten[],30,0)</f>
        <v>0</v>
      </c>
      <c r="G79" s="343">
        <v>0</v>
      </c>
      <c r="H79" s="343">
        <v>0</v>
      </c>
      <c r="I79" s="491">
        <f>G79+H79</f>
        <v>0</v>
      </c>
      <c r="J79" s="31"/>
      <c r="K79" s="606" t="str">
        <f>IF(I79&gt;F79,"+"&amp;(I79-F79)&amp;" BIP(s)",IF(I79&lt;F79,"-"&amp;(F79-G79)&amp;" BIP(s)",""))</f>
        <v/>
      </c>
      <c r="L79" s="607"/>
      <c r="N79" s="614"/>
      <c r="O79" s="614"/>
      <c r="P79" s="614"/>
      <c r="Q79" s="614"/>
      <c r="R79" s="614"/>
      <c r="S79" s="614"/>
      <c r="T79" s="614"/>
      <c r="U79" s="614"/>
      <c r="V79" s="614"/>
      <c r="W79" s="614"/>
      <c r="X79" s="614"/>
      <c r="Y79" s="614"/>
      <c r="Z79" s="614"/>
      <c r="AA79" s="614"/>
      <c r="AB79" s="614"/>
      <c r="AC79" s="614"/>
      <c r="AD79" s="614"/>
      <c r="AE79" s="614"/>
      <c r="AF79" s="49"/>
    </row>
    <row r="80" spans="2:32" x14ac:dyDescent="0.2">
      <c r="B80" s="48"/>
      <c r="C80" s="638"/>
      <c r="E80" s="29" t="s">
        <v>252</v>
      </c>
      <c r="F80" s="498">
        <f>IFERROR(F79*19,"")</f>
        <v>0</v>
      </c>
      <c r="G80" s="499">
        <f>G79*19</f>
        <v>0</v>
      </c>
      <c r="H80" s="499">
        <f>H79*19</f>
        <v>0</v>
      </c>
      <c r="I80" s="498">
        <f>G80+H80</f>
        <v>0</v>
      </c>
      <c r="L80" s="362"/>
      <c r="N80" s="614"/>
      <c r="O80" s="614"/>
      <c r="P80" s="614"/>
      <c r="Q80" s="614"/>
      <c r="R80" s="614"/>
      <c r="S80" s="614"/>
      <c r="T80" s="614"/>
      <c r="U80" s="614"/>
      <c r="V80" s="614"/>
      <c r="W80" s="614"/>
      <c r="X80" s="614"/>
      <c r="Y80" s="614"/>
      <c r="Z80" s="614"/>
      <c r="AA80" s="614"/>
      <c r="AB80" s="614"/>
      <c r="AC80" s="614"/>
      <c r="AD80" s="614"/>
      <c r="AE80" s="614"/>
      <c r="AF80" s="49"/>
    </row>
    <row r="81" spans="2:38" ht="13.5" thickBot="1" x14ac:dyDescent="0.25">
      <c r="B81" s="48"/>
      <c r="C81" s="639"/>
      <c r="D81" s="196" t="s">
        <v>279</v>
      </c>
      <c r="E81" s="36" t="s">
        <v>112</v>
      </c>
      <c r="F81" s="490">
        <f>VLOOKUP($C$1,Daten[],31,0)</f>
        <v>0</v>
      </c>
      <c r="G81" s="500">
        <f>G80*(VLOOKUP($D81,Steuerung!$Q$2:$R$6,2,0))</f>
        <v>0</v>
      </c>
      <c r="H81" s="500">
        <f>H80*(VLOOKUP($D81,Steuerung!$Q$2:$R$6,2,0))</f>
        <v>0</v>
      </c>
      <c r="I81" s="492">
        <f>G81+H81</f>
        <v>0</v>
      </c>
      <c r="J81" s="102"/>
      <c r="K81" s="333"/>
      <c r="L81" s="363"/>
      <c r="N81" s="614"/>
      <c r="O81" s="614"/>
      <c r="P81" s="614"/>
      <c r="Q81" s="614"/>
      <c r="R81" s="614"/>
      <c r="S81" s="614"/>
      <c r="T81" s="614"/>
      <c r="U81" s="614"/>
      <c r="V81" s="614"/>
      <c r="W81" s="614"/>
      <c r="X81" s="614"/>
      <c r="Y81" s="614"/>
      <c r="Z81" s="614"/>
      <c r="AA81" s="614"/>
      <c r="AB81" s="614"/>
      <c r="AC81" s="614"/>
      <c r="AD81" s="614"/>
      <c r="AE81" s="614"/>
      <c r="AF81" s="49"/>
    </row>
    <row r="82" spans="2:38" ht="13.5" thickBot="1" x14ac:dyDescent="0.25">
      <c r="B82" s="48"/>
      <c r="L82" s="364"/>
      <c r="N82" s="614"/>
      <c r="O82" s="614"/>
      <c r="P82" s="614"/>
      <c r="Q82" s="614"/>
      <c r="R82" s="614"/>
      <c r="S82" s="614"/>
      <c r="T82" s="614"/>
      <c r="U82" s="614"/>
      <c r="V82" s="614"/>
      <c r="W82" s="614"/>
      <c r="X82" s="614"/>
      <c r="Y82" s="614"/>
      <c r="Z82" s="614"/>
      <c r="AA82" s="614"/>
      <c r="AB82" s="614"/>
      <c r="AC82" s="614"/>
      <c r="AD82" s="614"/>
      <c r="AE82" s="614"/>
      <c r="AF82" s="49"/>
    </row>
    <row r="83" spans="2:38" x14ac:dyDescent="0.2">
      <c r="B83" s="48"/>
      <c r="C83" s="637" t="s">
        <v>532</v>
      </c>
      <c r="D83" s="31"/>
      <c r="E83" s="33" t="s">
        <v>485</v>
      </c>
      <c r="F83" s="491">
        <f>VLOOKUP($C$1,Daten[],32,0)</f>
        <v>0</v>
      </c>
      <c r="G83" s="343">
        <v>0</v>
      </c>
      <c r="H83" s="343">
        <v>0</v>
      </c>
      <c r="I83" s="491">
        <f>G83+H83</f>
        <v>0</v>
      </c>
      <c r="J83" s="31"/>
      <c r="K83" s="606" t="str">
        <f>IF(I83&gt;F83,"+"&amp;(I83-F83)&amp;" BIP(s)",IF(I83&lt;F83,"-"&amp;(F83-G83)&amp;" BIP(s)",""))</f>
        <v/>
      </c>
      <c r="L83" s="607"/>
      <c r="N83" s="614"/>
      <c r="O83" s="614"/>
      <c r="P83" s="614"/>
      <c r="Q83" s="614"/>
      <c r="R83" s="614"/>
      <c r="S83" s="614"/>
      <c r="T83" s="614"/>
      <c r="U83" s="614"/>
      <c r="V83" s="614"/>
      <c r="W83" s="614"/>
      <c r="X83" s="614"/>
      <c r="Y83" s="614"/>
      <c r="Z83" s="614"/>
      <c r="AA83" s="614"/>
      <c r="AB83" s="614"/>
      <c r="AC83" s="614"/>
      <c r="AD83" s="614"/>
      <c r="AE83" s="614"/>
      <c r="AF83" s="49"/>
      <c r="AH83" s="669" t="str">
        <f>IF((N92+P92+R92+T92+X92)&gt;0,"Information: Mit Umschichtungen nach BIP beantragen Sie die Ausstellung einer Zusatzvereinbarung. Bitte geben Sie eine Begründung für die gewünschte Umschichtung an.",IF(OR(K63&lt;&gt;"",K67&lt;&gt;"",K71&lt;&gt;"",K75&lt;&gt;"",K79&lt;&gt;"",K83&lt;&gt;""),"Information: Mit Änderungen bei BIPs beantragen Sie die Ausstellung einer Zusatzvereinbarung. ",""))</f>
        <v/>
      </c>
      <c r="AI83" s="669"/>
      <c r="AJ83" s="669"/>
      <c r="AK83" s="669"/>
      <c r="AL83" s="669"/>
    </row>
    <row r="84" spans="2:38" x14ac:dyDescent="0.2">
      <c r="B84" s="48"/>
      <c r="C84" s="638"/>
      <c r="E84" s="29" t="s">
        <v>252</v>
      </c>
      <c r="F84" s="498">
        <f>IFERROR(F83*20,"")</f>
        <v>0</v>
      </c>
      <c r="G84" s="501">
        <f>G83*20</f>
        <v>0</v>
      </c>
      <c r="H84" s="501">
        <f>H83*20</f>
        <v>0</v>
      </c>
      <c r="I84" s="498">
        <f>G84+H84</f>
        <v>0</v>
      </c>
      <c r="L84" s="362"/>
      <c r="N84" s="614"/>
      <c r="O84" s="614"/>
      <c r="P84" s="614"/>
      <c r="Q84" s="614"/>
      <c r="R84" s="614"/>
      <c r="S84" s="614"/>
      <c r="T84" s="614"/>
      <c r="U84" s="614"/>
      <c r="V84" s="614"/>
      <c r="W84" s="614"/>
      <c r="X84" s="614"/>
      <c r="Y84" s="614"/>
      <c r="Z84" s="614"/>
      <c r="AA84" s="614"/>
      <c r="AB84" s="614"/>
      <c r="AC84" s="614"/>
      <c r="AD84" s="614"/>
      <c r="AE84" s="614"/>
      <c r="AF84" s="49"/>
      <c r="AH84" s="669"/>
      <c r="AI84" s="669"/>
      <c r="AJ84" s="669"/>
      <c r="AK84" s="669"/>
      <c r="AL84" s="669"/>
    </row>
    <row r="85" spans="2:38" ht="13.5" thickBot="1" x14ac:dyDescent="0.25">
      <c r="B85" s="48"/>
      <c r="C85" s="639"/>
      <c r="D85" s="196" t="s">
        <v>279</v>
      </c>
      <c r="E85" s="36" t="s">
        <v>112</v>
      </c>
      <c r="F85" s="490">
        <f>VLOOKUP($C$1,Daten[],33,0)</f>
        <v>0</v>
      </c>
      <c r="G85" s="502">
        <f>G84*(VLOOKUP($D85,Steuerung!$Q$2:$R$6,2,0))</f>
        <v>0</v>
      </c>
      <c r="H85" s="502">
        <f>H84*(VLOOKUP($D85,Steuerung!$Q$2:$R$6,2,0))</f>
        <v>0</v>
      </c>
      <c r="I85" s="492">
        <f>G85+H85</f>
        <v>0</v>
      </c>
      <c r="J85" s="102"/>
      <c r="K85" s="333"/>
      <c r="L85" s="363"/>
      <c r="N85" s="614"/>
      <c r="O85" s="614"/>
      <c r="P85" s="614"/>
      <c r="Q85" s="614"/>
      <c r="R85" s="614"/>
      <c r="S85" s="614"/>
      <c r="T85" s="614"/>
      <c r="U85" s="614"/>
      <c r="V85" s="614"/>
      <c r="W85" s="614"/>
      <c r="X85" s="614"/>
      <c r="Y85" s="614"/>
      <c r="Z85" s="614"/>
      <c r="AA85" s="614"/>
      <c r="AB85" s="614"/>
      <c r="AC85" s="614"/>
      <c r="AD85" s="614"/>
      <c r="AE85" s="614"/>
      <c r="AF85" s="49"/>
      <c r="AH85" s="669"/>
      <c r="AI85" s="669"/>
      <c r="AJ85" s="669"/>
      <c r="AK85" s="669"/>
      <c r="AL85" s="669"/>
    </row>
    <row r="86" spans="2:38" hidden="1" x14ac:dyDescent="0.2">
      <c r="B86" s="48"/>
      <c r="AF86" s="49"/>
    </row>
    <row r="87" spans="2:38" hidden="1" x14ac:dyDescent="0.2">
      <c r="B87" s="48"/>
      <c r="C87" s="663" t="s">
        <v>486</v>
      </c>
      <c r="D87" s="109"/>
      <c r="E87" s="110" t="s">
        <v>485</v>
      </c>
      <c r="F87" s="32">
        <f>F63+F67+F71+F75+F79+F83</f>
        <v>0</v>
      </c>
      <c r="G87" s="80">
        <f t="shared" ref="G87:H88" si="10">G63+G67+G71+G75+G79+G83</f>
        <v>0</v>
      </c>
      <c r="H87" s="80">
        <f t="shared" si="10"/>
        <v>0</v>
      </c>
      <c r="I87" s="32">
        <f>G87+H87</f>
        <v>0</v>
      </c>
      <c r="J87" s="31"/>
      <c r="K87" s="340" t="str">
        <f>IF(I87&gt;F87,"+"&amp;(I87-F87)&amp;" BIP(s)","")</f>
        <v/>
      </c>
      <c r="L87" s="109"/>
      <c r="M87" s="111" t="s">
        <v>386</v>
      </c>
      <c r="N87" s="111"/>
      <c r="O87" s="111" t="s">
        <v>249</v>
      </c>
      <c r="P87" s="111"/>
      <c r="Q87" s="111" t="s">
        <v>263</v>
      </c>
      <c r="R87" s="111"/>
      <c r="S87" s="111" t="s">
        <v>247</v>
      </c>
      <c r="T87" s="111"/>
      <c r="U87" s="111" t="s">
        <v>248</v>
      </c>
      <c r="V87" s="111" t="s">
        <v>466</v>
      </c>
      <c r="W87" s="63" t="s">
        <v>550</v>
      </c>
      <c r="X87" s="197"/>
      <c r="Y87" s="197"/>
      <c r="Z87" s="197"/>
      <c r="AA87" s="197"/>
      <c r="AB87" s="109"/>
      <c r="AC87" s="198"/>
      <c r="AD87" s="206"/>
      <c r="AE87" s="660" t="str">
        <f>IF(AC89&gt;0,AC89,"")</f>
        <v/>
      </c>
      <c r="AF87" s="49"/>
    </row>
    <row r="88" spans="2:38" hidden="1" x14ac:dyDescent="0.2">
      <c r="B88" s="48"/>
      <c r="C88" s="664"/>
      <c r="E88" s="29" t="s">
        <v>252</v>
      </c>
      <c r="F88" s="28">
        <f>F64+F68+F72+F76+F80+F84</f>
        <v>0</v>
      </c>
      <c r="G88" s="231">
        <f t="shared" si="10"/>
        <v>0</v>
      </c>
      <c r="H88" s="231">
        <f t="shared" si="10"/>
        <v>0</v>
      </c>
      <c r="I88" s="28">
        <f>G88+H88</f>
        <v>0</v>
      </c>
      <c r="L88" s="29" t="s">
        <v>385</v>
      </c>
      <c r="M88" s="87">
        <f>MAX(0,L89)</f>
        <v>0</v>
      </c>
      <c r="N88" s="30"/>
      <c r="O88" s="232">
        <f>O64+O68+O72+O76+O80+O84</f>
        <v>0</v>
      </c>
      <c r="P88" s="30"/>
      <c r="Q88" s="232">
        <f>Q64+Q68+Q72+Q76+Q80+Q84</f>
        <v>0</v>
      </c>
      <c r="R88" s="30"/>
      <c r="S88" s="232">
        <f>S64+S68+S72+S76+S80+S84</f>
        <v>0</v>
      </c>
      <c r="T88" s="30"/>
      <c r="U88" s="232">
        <f>U64+U68+U72+U76+U80+U84</f>
        <v>0</v>
      </c>
      <c r="V88" s="232">
        <f>V64+V68+V72+V76+V80+V84</f>
        <v>0</v>
      </c>
      <c r="W88" s="232">
        <f>W64+W68+W72+W76+W80+W84</f>
        <v>0</v>
      </c>
      <c r="X88" s="30"/>
      <c r="Y88" s="30"/>
      <c r="Z88" s="129">
        <f>O88+Q88+S88+U88</f>
        <v>0</v>
      </c>
      <c r="AA88" s="129"/>
      <c r="AB88" s="30"/>
      <c r="AC88" s="199"/>
      <c r="AD88" s="207"/>
      <c r="AE88" s="661"/>
      <c r="AF88" s="49"/>
    </row>
    <row r="89" spans="2:38" ht="13.5" hidden="1" thickBot="1" x14ac:dyDescent="0.25">
      <c r="B89" s="48"/>
      <c r="C89" s="665"/>
      <c r="D89" s="200"/>
      <c r="E89" s="114" t="s">
        <v>112</v>
      </c>
      <c r="F89" s="35">
        <f>F65+F69+F73+F77+F81+F85</f>
        <v>0</v>
      </c>
      <c r="G89" s="81">
        <f>G65+G69+G73+G77+G81+G85</f>
        <v>0</v>
      </c>
      <c r="H89" s="81">
        <f>H65+H69+H73+H77+H81+H85</f>
        <v>0</v>
      </c>
      <c r="I89" s="89">
        <f>G89+H89</f>
        <v>0</v>
      </c>
      <c r="J89" s="125"/>
      <c r="K89" s="342"/>
      <c r="L89" s="203">
        <f>F89-I89</f>
        <v>0</v>
      </c>
      <c r="M89" s="113"/>
      <c r="N89" s="204"/>
      <c r="O89" s="201">
        <f>O88*-1</f>
        <v>0</v>
      </c>
      <c r="P89" s="204"/>
      <c r="Q89" s="201">
        <f>Q88*-1</f>
        <v>0</v>
      </c>
      <c r="R89" s="204"/>
      <c r="S89" s="201">
        <f>S88*-1</f>
        <v>0</v>
      </c>
      <c r="T89" s="204"/>
      <c r="U89" s="201">
        <f>U88*-1</f>
        <v>0</v>
      </c>
      <c r="V89" s="201">
        <f>V88*-1</f>
        <v>0</v>
      </c>
      <c r="W89" s="201">
        <f>W88*-1</f>
        <v>0</v>
      </c>
      <c r="X89" s="204"/>
      <c r="Y89" s="204"/>
      <c r="Z89" s="204"/>
      <c r="AA89" s="204"/>
      <c r="AB89" s="202">
        <f>F89+N89+O89+P89+Q89+R89+S89+T89+U89+V89+X89</f>
        <v>0</v>
      </c>
      <c r="AC89" s="205">
        <f>AB89-I89</f>
        <v>0</v>
      </c>
      <c r="AD89" s="208"/>
      <c r="AE89" s="662"/>
      <c r="AF89" s="49"/>
    </row>
    <row r="90" spans="2:38" ht="13.5" thickBot="1" x14ac:dyDescent="0.25">
      <c r="B90" s="48"/>
      <c r="C90" s="344"/>
      <c r="D90" s="345"/>
      <c r="F90" s="7"/>
      <c r="G90" s="361"/>
      <c r="H90" s="361"/>
      <c r="I90" s="125"/>
      <c r="J90" s="125"/>
      <c r="K90" s="341"/>
      <c r="L90" s="106"/>
      <c r="N90" s="7"/>
      <c r="O90" s="7"/>
      <c r="P90" s="7"/>
      <c r="Q90" s="7"/>
      <c r="R90" s="7"/>
      <c r="S90" s="7"/>
      <c r="T90" s="7"/>
      <c r="U90" s="7"/>
      <c r="V90" s="7"/>
      <c r="W90" s="7"/>
      <c r="X90" s="7"/>
      <c r="Y90" s="7"/>
      <c r="Z90" s="7"/>
      <c r="AA90" s="7"/>
      <c r="AB90" s="125"/>
      <c r="AC90" s="125"/>
      <c r="AE90" s="346"/>
      <c r="AF90" s="49"/>
    </row>
    <row r="91" spans="2:38" ht="14.25" x14ac:dyDescent="0.25">
      <c r="B91" s="48"/>
      <c r="C91" s="608" t="s">
        <v>792</v>
      </c>
      <c r="D91" s="117"/>
      <c r="E91" s="33" t="s">
        <v>485</v>
      </c>
      <c r="F91" s="503">
        <f>F63+F67+F71+F75+F79+F83</f>
        <v>0</v>
      </c>
      <c r="G91" s="503">
        <f>G63+G67+G71+G75+G79+G83</f>
        <v>0</v>
      </c>
      <c r="H91" s="503">
        <f>H63+H67+H71+H75+H79+H83</f>
        <v>0</v>
      </c>
      <c r="I91" s="503">
        <f>I63+I67+I71+I75+I79+I83</f>
        <v>0</v>
      </c>
      <c r="J91" s="117"/>
      <c r="K91" s="334"/>
      <c r="L91" s="117"/>
      <c r="M91" s="110" t="s">
        <v>784</v>
      </c>
      <c r="N91" s="110" t="s">
        <v>250</v>
      </c>
      <c r="O91" s="110" t="s">
        <v>249</v>
      </c>
      <c r="P91" s="110" t="s">
        <v>262</v>
      </c>
      <c r="Q91" s="111" t="s">
        <v>263</v>
      </c>
      <c r="R91" s="110" t="s">
        <v>245</v>
      </c>
      <c r="S91" s="110" t="s">
        <v>247</v>
      </c>
      <c r="T91" s="110" t="s">
        <v>246</v>
      </c>
      <c r="U91" s="111" t="s">
        <v>248</v>
      </c>
      <c r="V91" s="111" t="s">
        <v>466</v>
      </c>
      <c r="W91" s="111" t="s">
        <v>550</v>
      </c>
      <c r="X91" s="110" t="s">
        <v>971</v>
      </c>
      <c r="Y91" s="110" t="s">
        <v>972</v>
      </c>
      <c r="Z91" s="628" t="str">
        <f>IF(AND(M92=0,(O92+Q92+S92+U92+V92+W92+Y92)&gt;0),"Unzulässige Umschichtungen!","")</f>
        <v/>
      </c>
      <c r="AA91" s="628"/>
      <c r="AB91" s="631">
        <f>F93+SUM(N93:Y93)</f>
        <v>0</v>
      </c>
      <c r="AC91" s="633">
        <f>AB91-I93</f>
        <v>0</v>
      </c>
      <c r="AD91" s="626">
        <f>IF(AC91&lt;0,AC91*-1,0)</f>
        <v>0</v>
      </c>
      <c r="AE91" s="672">
        <f>IF(AC91&gt;0,AC91,0)</f>
        <v>0</v>
      </c>
      <c r="AF91" s="49"/>
      <c r="AH91" s="669" t="str">
        <f>IF(AND(AE91&gt;0,(N93+P93+R93+T93+X93+Z93)&gt;0),"Korrigieren Sie die Umschichtungen: Umschichtungen nach BIP UND Rückgabe sind nicht gleichzeitig möglich!","")</f>
        <v/>
      </c>
      <c r="AI91" s="669"/>
      <c r="AJ91" s="669"/>
      <c r="AK91" s="669"/>
      <c r="AL91" s="669"/>
    </row>
    <row r="92" spans="2:38" x14ac:dyDescent="0.2">
      <c r="B92" s="48"/>
      <c r="C92" s="609"/>
      <c r="D92" s="347"/>
      <c r="E92" s="29" t="s">
        <v>252</v>
      </c>
      <c r="F92" s="498">
        <f t="shared" ref="F92:G93" si="11">F64+F68+F72+F76+F80+F84</f>
        <v>0</v>
      </c>
      <c r="G92" s="498">
        <f t="shared" si="11"/>
        <v>0</v>
      </c>
      <c r="H92" s="498">
        <f t="shared" ref="H92" si="12">H64+H68+H72+H76+H80+H84</f>
        <v>0</v>
      </c>
      <c r="I92" s="498">
        <f t="shared" ref="I92:I93" si="13">I64+I68+I72+I76+I80+I84</f>
        <v>0</v>
      </c>
      <c r="J92" s="347"/>
      <c r="L92" s="347"/>
      <c r="M92" s="505">
        <f>MAX(0,F93-I93)</f>
        <v>0</v>
      </c>
      <c r="N92" s="506">
        <f>AA6</f>
        <v>0</v>
      </c>
      <c r="O92" s="232">
        <f>O64+O68+O72+O76+O80+O84</f>
        <v>0</v>
      </c>
      <c r="P92" s="509">
        <f>AA11</f>
        <v>0</v>
      </c>
      <c r="Q92" s="232">
        <f>Q64+Q68+Q72+Q76+Q80+Q84</f>
        <v>0</v>
      </c>
      <c r="R92" s="510">
        <f>AA21</f>
        <v>0</v>
      </c>
      <c r="S92" s="232">
        <v>0</v>
      </c>
      <c r="T92" s="510">
        <f>AA26</f>
        <v>0</v>
      </c>
      <c r="U92" s="232">
        <v>0</v>
      </c>
      <c r="V92" s="232">
        <f>V64+V68+V72+V76+V80+V84</f>
        <v>0</v>
      </c>
      <c r="W92" s="232">
        <f>W64+W68+W72+W76+W80+W84</f>
        <v>0</v>
      </c>
      <c r="X92" s="510">
        <f>AA51</f>
        <v>0</v>
      </c>
      <c r="Y92" s="579">
        <v>0</v>
      </c>
      <c r="Z92" s="629"/>
      <c r="AA92" s="629"/>
      <c r="AB92" s="591"/>
      <c r="AC92" s="594"/>
      <c r="AD92" s="622"/>
      <c r="AE92" s="673"/>
      <c r="AF92" s="49"/>
      <c r="AH92" s="669"/>
      <c r="AI92" s="669"/>
      <c r="AJ92" s="669"/>
      <c r="AK92" s="669"/>
      <c r="AL92" s="669"/>
    </row>
    <row r="93" spans="2:38" ht="13.5" thickBot="1" x14ac:dyDescent="0.25">
      <c r="B93" s="48"/>
      <c r="C93" s="610"/>
      <c r="D93" s="196" t="s">
        <v>279</v>
      </c>
      <c r="E93" s="114" t="s">
        <v>112</v>
      </c>
      <c r="F93" s="504">
        <f t="shared" si="11"/>
        <v>0</v>
      </c>
      <c r="G93" s="504">
        <f t="shared" si="11"/>
        <v>0</v>
      </c>
      <c r="H93" s="504">
        <f t="shared" ref="H93" si="14">H65+H69+H73+H77+H81+H85</f>
        <v>0</v>
      </c>
      <c r="I93" s="504">
        <f t="shared" si="13"/>
        <v>0</v>
      </c>
      <c r="J93" s="121"/>
      <c r="K93" s="335"/>
      <c r="L93" s="121"/>
      <c r="M93" s="121"/>
      <c r="N93" s="507">
        <f>N92</f>
        <v>0</v>
      </c>
      <c r="O93" s="508">
        <f>O92*-1</f>
        <v>0</v>
      </c>
      <c r="P93" s="507">
        <f>P92</f>
        <v>0</v>
      </c>
      <c r="Q93" s="508">
        <f>Q92*-1</f>
        <v>0</v>
      </c>
      <c r="R93" s="507">
        <f>R92</f>
        <v>0</v>
      </c>
      <c r="S93" s="508">
        <f>S92*-1</f>
        <v>0</v>
      </c>
      <c r="T93" s="507">
        <f>T92</f>
        <v>0</v>
      </c>
      <c r="U93" s="508">
        <f>U92*-1</f>
        <v>0</v>
      </c>
      <c r="V93" s="508">
        <f>V92*-1</f>
        <v>0</v>
      </c>
      <c r="W93" s="508">
        <f>W92*-1</f>
        <v>0</v>
      </c>
      <c r="X93" s="511">
        <f>X92</f>
        <v>0</v>
      </c>
      <c r="Y93" s="508">
        <f>Y92*-1</f>
        <v>0</v>
      </c>
      <c r="Z93" s="630"/>
      <c r="AA93" s="630"/>
      <c r="AB93" s="632"/>
      <c r="AC93" s="634"/>
      <c r="AD93" s="627"/>
      <c r="AE93" s="674"/>
      <c r="AF93" s="49"/>
      <c r="AH93" s="669"/>
      <c r="AI93" s="669"/>
      <c r="AJ93" s="669"/>
      <c r="AK93" s="669"/>
      <c r="AL93" s="669"/>
    </row>
    <row r="94" spans="2:38" ht="7.5" customHeight="1" thickBot="1" x14ac:dyDescent="0.25">
      <c r="B94" s="51"/>
      <c r="C94" s="324"/>
      <c r="D94" s="52"/>
      <c r="E94" s="53"/>
      <c r="F94" s="52"/>
      <c r="G94" s="52"/>
      <c r="H94" s="52"/>
      <c r="I94" s="52"/>
      <c r="J94" s="52"/>
      <c r="K94" s="336"/>
      <c r="L94" s="52"/>
      <c r="M94" s="52"/>
      <c r="N94" s="52"/>
      <c r="O94" s="52"/>
      <c r="P94" s="52"/>
      <c r="Q94" s="52"/>
      <c r="R94" s="52"/>
      <c r="S94" s="52"/>
      <c r="T94" s="52"/>
      <c r="U94" s="52"/>
      <c r="V94" s="52"/>
      <c r="W94" s="52"/>
      <c r="X94" s="52"/>
      <c r="Y94" s="52"/>
      <c r="Z94" s="52"/>
      <c r="AA94" s="52"/>
      <c r="AB94" s="52"/>
      <c r="AC94" s="52"/>
      <c r="AD94" s="52"/>
      <c r="AE94" s="52"/>
      <c r="AF94" s="55"/>
    </row>
    <row r="95" spans="2:38" ht="13.5" thickTop="1" x14ac:dyDescent="0.2"/>
    <row r="97" spans="3:38" x14ac:dyDescent="0.2">
      <c r="I97" s="1" t="s">
        <v>796</v>
      </c>
      <c r="AD97" s="29" t="s">
        <v>950</v>
      </c>
      <c r="AE97" s="1">
        <f>LEN(N98)</f>
        <v>0</v>
      </c>
    </row>
    <row r="98" spans="3:38" ht="45.75" customHeight="1" x14ac:dyDescent="0.2">
      <c r="N98" s="668"/>
      <c r="O98" s="668"/>
      <c r="P98" s="668"/>
      <c r="Q98" s="668"/>
      <c r="R98" s="668"/>
      <c r="S98" s="668"/>
      <c r="T98" s="668"/>
      <c r="U98" s="668"/>
      <c r="V98" s="668"/>
      <c r="W98" s="668"/>
      <c r="X98" s="668"/>
      <c r="Y98" s="668"/>
      <c r="Z98" s="668"/>
      <c r="AA98" s="668"/>
      <c r="AB98" s="668"/>
      <c r="AC98" s="668"/>
      <c r="AD98" s="668"/>
      <c r="AE98" s="668"/>
      <c r="AH98" s="669" t="str">
        <f>IF(AND(LEN(N98)&lt;20,(U15*-1)&gt;(F15*0.1)),"Begründung für Umschichtung von mehr als 10% von SM nach ST notwendig - bitte ausfüllen!","")</f>
        <v/>
      </c>
      <c r="AI98" s="669"/>
      <c r="AJ98" s="669"/>
      <c r="AK98" s="669"/>
      <c r="AL98" s="669"/>
    </row>
    <row r="99" spans="3:38" ht="45.75" customHeight="1" x14ac:dyDescent="0.2">
      <c r="N99" s="668"/>
      <c r="O99" s="668"/>
      <c r="P99" s="668"/>
      <c r="Q99" s="668"/>
      <c r="R99" s="668"/>
      <c r="S99" s="668"/>
      <c r="T99" s="668"/>
      <c r="U99" s="668"/>
      <c r="V99" s="668"/>
      <c r="W99" s="668"/>
      <c r="X99" s="668"/>
      <c r="Y99" s="668"/>
      <c r="Z99" s="668"/>
      <c r="AA99" s="668"/>
      <c r="AB99" s="668"/>
      <c r="AC99" s="668"/>
      <c r="AD99" s="668"/>
      <c r="AE99" s="668"/>
      <c r="AH99" s="669"/>
      <c r="AI99" s="669"/>
      <c r="AJ99" s="669"/>
      <c r="AK99" s="669"/>
      <c r="AL99" s="669"/>
    </row>
    <row r="100" spans="3:38" ht="45.75" customHeight="1" x14ac:dyDescent="0.2">
      <c r="N100" s="668"/>
      <c r="O100" s="668"/>
      <c r="P100" s="668"/>
      <c r="Q100" s="668"/>
      <c r="R100" s="668"/>
      <c r="S100" s="668"/>
      <c r="T100" s="668"/>
      <c r="U100" s="668"/>
      <c r="V100" s="668"/>
      <c r="W100" s="668"/>
      <c r="X100" s="668"/>
      <c r="Y100" s="668"/>
      <c r="Z100" s="668"/>
      <c r="AA100" s="668"/>
      <c r="AB100" s="668"/>
      <c r="AC100" s="668"/>
      <c r="AD100" s="668"/>
      <c r="AE100" s="668"/>
      <c r="AH100" s="669"/>
      <c r="AI100" s="669"/>
      <c r="AJ100" s="669"/>
      <c r="AK100" s="669"/>
      <c r="AL100" s="669"/>
    </row>
    <row r="102" spans="3:38" x14ac:dyDescent="0.2">
      <c r="I102" s="1" t="s">
        <v>797</v>
      </c>
      <c r="AD102" s="29" t="s">
        <v>950</v>
      </c>
      <c r="AE102" s="1">
        <f>LEN(N103)</f>
        <v>0</v>
      </c>
    </row>
    <row r="103" spans="3:38" ht="45" customHeight="1" x14ac:dyDescent="0.2">
      <c r="N103" s="668"/>
      <c r="O103" s="668"/>
      <c r="P103" s="668"/>
      <c r="Q103" s="668"/>
      <c r="R103" s="668"/>
      <c r="S103" s="668"/>
      <c r="T103" s="668"/>
      <c r="U103" s="668"/>
      <c r="V103" s="668"/>
      <c r="W103" s="668"/>
      <c r="X103" s="668"/>
      <c r="Y103" s="668"/>
      <c r="Z103" s="668"/>
      <c r="AA103" s="668"/>
      <c r="AB103" s="668"/>
      <c r="AC103" s="668"/>
      <c r="AD103" s="668"/>
      <c r="AE103" s="668"/>
      <c r="AH103" s="670" t="str">
        <f>IF(OR(AND(LEN($N$103)&lt;20,($N$47+$P$47+$R$47+$T$47+$Z$47)),AND(LEN($N$103)&lt;20,($AA$6+$AA$11+$AA$21+$AA$26+$AA$51)&gt;0)),"Begründung für Umschichtung nach OS (Mobilitäten und/oder BIP) notwendig - bitte ausfüllen!","")</f>
        <v/>
      </c>
      <c r="AI103" s="670"/>
      <c r="AJ103" s="670"/>
      <c r="AK103" s="670"/>
      <c r="AL103" s="670"/>
    </row>
    <row r="104" spans="3:38" ht="45" customHeight="1" x14ac:dyDescent="0.2">
      <c r="N104" s="668"/>
      <c r="O104" s="668"/>
      <c r="P104" s="668"/>
      <c r="Q104" s="668"/>
      <c r="R104" s="668"/>
      <c r="S104" s="668"/>
      <c r="T104" s="668"/>
      <c r="U104" s="668"/>
      <c r="V104" s="668"/>
      <c r="W104" s="668"/>
      <c r="X104" s="668"/>
      <c r="Y104" s="668"/>
      <c r="Z104" s="668"/>
      <c r="AA104" s="668"/>
      <c r="AB104" s="668"/>
      <c r="AC104" s="668"/>
      <c r="AD104" s="668"/>
      <c r="AE104" s="668"/>
      <c r="AH104" s="670"/>
      <c r="AI104" s="670"/>
      <c r="AJ104" s="670"/>
      <c r="AK104" s="670"/>
      <c r="AL104" s="670"/>
    </row>
    <row r="105" spans="3:38" ht="45" customHeight="1" x14ac:dyDescent="0.2">
      <c r="N105" s="668"/>
      <c r="O105" s="668"/>
      <c r="P105" s="668"/>
      <c r="Q105" s="668"/>
      <c r="R105" s="668"/>
      <c r="S105" s="668"/>
      <c r="T105" s="668"/>
      <c r="U105" s="668"/>
      <c r="V105" s="668"/>
      <c r="W105" s="668"/>
      <c r="X105" s="668"/>
      <c r="Y105" s="668"/>
      <c r="Z105" s="668"/>
      <c r="AA105" s="668"/>
      <c r="AB105" s="668"/>
      <c r="AC105" s="668"/>
      <c r="AD105" s="668"/>
      <c r="AE105" s="668"/>
      <c r="AH105" s="670"/>
      <c r="AI105" s="670"/>
      <c r="AJ105" s="670"/>
      <c r="AK105" s="670"/>
      <c r="AL105" s="670"/>
    </row>
    <row r="108" spans="3:38" ht="42" customHeight="1" x14ac:dyDescent="0.2">
      <c r="F108" s="74" t="s">
        <v>282</v>
      </c>
      <c r="I108" s="74" t="s">
        <v>952</v>
      </c>
      <c r="J108" s="97"/>
    </row>
    <row r="109" spans="3:38" ht="25.5" x14ac:dyDescent="0.2">
      <c r="C109" s="22" t="s">
        <v>387</v>
      </c>
      <c r="E109" s="29" t="s">
        <v>112</v>
      </c>
      <c r="F109" s="7">
        <f>F7+F12+F22+F27</f>
        <v>0</v>
      </c>
      <c r="I109" s="7">
        <f>I7+I12+I22+I27</f>
        <v>0</v>
      </c>
      <c r="J109" s="7"/>
    </row>
    <row r="110" spans="3:38" x14ac:dyDescent="0.2">
      <c r="C110" s="22" t="s">
        <v>596</v>
      </c>
      <c r="E110" s="29" t="s">
        <v>112</v>
      </c>
      <c r="F110" s="7">
        <f>F35</f>
        <v>0</v>
      </c>
      <c r="I110" s="7">
        <f>I35+I38</f>
        <v>0</v>
      </c>
      <c r="J110" s="7"/>
    </row>
    <row r="111" spans="3:38" x14ac:dyDescent="0.2">
      <c r="C111" s="22" t="s">
        <v>593</v>
      </c>
      <c r="E111" s="29" t="s">
        <v>112</v>
      </c>
      <c r="F111" s="7">
        <f>F46</f>
        <v>0</v>
      </c>
      <c r="I111" s="7">
        <f>I51</f>
        <v>0</v>
      </c>
      <c r="J111" s="7"/>
    </row>
    <row r="112" spans="3:38" x14ac:dyDescent="0.2">
      <c r="C112" s="22" t="s">
        <v>547</v>
      </c>
      <c r="E112" s="29" t="s">
        <v>112</v>
      </c>
      <c r="F112" s="7">
        <f>F55</f>
        <v>0</v>
      </c>
      <c r="I112" s="7">
        <f>I57</f>
        <v>0</v>
      </c>
      <c r="J112" s="7"/>
    </row>
    <row r="113" spans="3:29" x14ac:dyDescent="0.2">
      <c r="C113" s="22" t="s">
        <v>279</v>
      </c>
      <c r="E113" s="29" t="s">
        <v>112</v>
      </c>
      <c r="F113" s="7">
        <f>F93</f>
        <v>0</v>
      </c>
      <c r="I113" s="7">
        <f>I93</f>
        <v>0</v>
      </c>
      <c r="J113" s="7"/>
      <c r="O113" s="29"/>
    </row>
    <row r="114" spans="3:29" x14ac:dyDescent="0.2">
      <c r="C114" s="22" t="s">
        <v>113</v>
      </c>
      <c r="E114" s="29" t="s">
        <v>112</v>
      </c>
      <c r="F114" s="7">
        <f>SUM(F109:F113)</f>
        <v>0</v>
      </c>
      <c r="I114" s="7">
        <f>SUM(I109:I113)</f>
        <v>0</v>
      </c>
      <c r="J114" s="7"/>
      <c r="N114" s="7"/>
      <c r="O114" s="84"/>
      <c r="AB114" s="7">
        <f>AB4+AB9+AB19+AB24+AB47+AB56+AB65+AB69+AB73+AB77+AB81+AB85+AB37+O52+Q52+S52+U52+V52+W52+AA52+AB91</f>
        <v>0</v>
      </c>
      <c r="AC114" s="7">
        <f>AC4+AC9+AC19+AC24+AC34+AC37+AC47+AC56+AC91</f>
        <v>0</v>
      </c>
    </row>
    <row r="116" spans="3:29" x14ac:dyDescent="0.2">
      <c r="F116" s="7"/>
    </row>
    <row r="117" spans="3:29" x14ac:dyDescent="0.2">
      <c r="F117" s="7"/>
      <c r="I117" s="7"/>
      <c r="J117" s="7"/>
      <c r="O117" s="7"/>
    </row>
  </sheetData>
  <sheetProtection algorithmName="SHA-512" hashValue="joo+FAqAcUDcR4f4yp35kKwj6boZIXZMs33gAwTGsBriGdqkYk8ax/8m48rsAgnqaV84Wnrha+Bqdxa9XZTWBA==" saltValue="jfLSWw572UkeTk06XtFMKA==" spinCount="100000" sheet="1" objects="1" scenarios="1"/>
  <mergeCells count="98">
    <mergeCell ref="AN4:AP7"/>
    <mergeCell ref="AN9:AP12"/>
    <mergeCell ref="AN19:AP22"/>
    <mergeCell ref="AN24:AP27"/>
    <mergeCell ref="AH91:AL93"/>
    <mergeCell ref="AH83:AL85"/>
    <mergeCell ref="AH34:AL35"/>
    <mergeCell ref="AH37:AL38"/>
    <mergeCell ref="AH4:AL7"/>
    <mergeCell ref="AH9:AL12"/>
    <mergeCell ref="AH19:AL22"/>
    <mergeCell ref="AH24:AL27"/>
    <mergeCell ref="AH14:AL15"/>
    <mergeCell ref="N98:AE100"/>
    <mergeCell ref="N103:AE105"/>
    <mergeCell ref="AH98:AL100"/>
    <mergeCell ref="AH103:AL105"/>
    <mergeCell ref="AH45:AL47"/>
    <mergeCell ref="AH50:AL52"/>
    <mergeCell ref="AH54:AL57"/>
    <mergeCell ref="AE91:AE93"/>
    <mergeCell ref="AE40:AE41"/>
    <mergeCell ref="C63:C65"/>
    <mergeCell ref="AE87:AE89"/>
    <mergeCell ref="C67:C69"/>
    <mergeCell ref="C71:C73"/>
    <mergeCell ref="C75:C77"/>
    <mergeCell ref="C79:C81"/>
    <mergeCell ref="C83:C85"/>
    <mergeCell ref="AE45:AE52"/>
    <mergeCell ref="K63:L63"/>
    <mergeCell ref="C87:C89"/>
    <mergeCell ref="C54:C57"/>
    <mergeCell ref="AE54:AE57"/>
    <mergeCell ref="AD54:AD57"/>
    <mergeCell ref="G46:H49"/>
    <mergeCell ref="F1:K1"/>
    <mergeCell ref="C1:E1"/>
    <mergeCell ref="C4:C7"/>
    <mergeCell ref="C9:C12"/>
    <mergeCell ref="C14:C15"/>
    <mergeCell ref="C19:C22"/>
    <mergeCell ref="C24:C27"/>
    <mergeCell ref="C29:C30"/>
    <mergeCell ref="C45:C52"/>
    <mergeCell ref="L2:Z2"/>
    <mergeCell ref="C40:C41"/>
    <mergeCell ref="P14:T15"/>
    <mergeCell ref="C34:C38"/>
    <mergeCell ref="N45:AA45"/>
    <mergeCell ref="U37:W38"/>
    <mergeCell ref="G50:H52"/>
    <mergeCell ref="AD14:AD15"/>
    <mergeCell ref="AD4:AD7"/>
    <mergeCell ref="Z91:AA93"/>
    <mergeCell ref="AB91:AB93"/>
    <mergeCell ref="AC91:AC93"/>
    <mergeCell ref="AD19:AD22"/>
    <mergeCell ref="AC4:AC7"/>
    <mergeCell ref="AC9:AC12"/>
    <mergeCell ref="AB4:AB7"/>
    <mergeCell ref="AB9:AB12"/>
    <mergeCell ref="AB14:AB15"/>
    <mergeCell ref="AC14:AC15"/>
    <mergeCell ref="AB19:AB22"/>
    <mergeCell ref="AC19:AC22"/>
    <mergeCell ref="AD91:AD93"/>
    <mergeCell ref="AD29:AD30"/>
    <mergeCell ref="C91:C93"/>
    <mergeCell ref="N4:AA4"/>
    <mergeCell ref="N9:AA9"/>
    <mergeCell ref="N19:AA19"/>
    <mergeCell ref="N24:AA24"/>
    <mergeCell ref="N64:AE85"/>
    <mergeCell ref="AD37:AD38"/>
    <mergeCell ref="AE37:AE38"/>
    <mergeCell ref="AE4:AE7"/>
    <mergeCell ref="AE14:AE15"/>
    <mergeCell ref="AE19:AE22"/>
    <mergeCell ref="AE24:AE27"/>
    <mergeCell ref="AE9:AE12"/>
    <mergeCell ref="AD24:AD27"/>
    <mergeCell ref="AD9:AD12"/>
    <mergeCell ref="AD45:AD52"/>
    <mergeCell ref="AB37:AB38"/>
    <mergeCell ref="AC37:AC38"/>
    <mergeCell ref="K83:L83"/>
    <mergeCell ref="K79:L79"/>
    <mergeCell ref="K75:L75"/>
    <mergeCell ref="K71:L71"/>
    <mergeCell ref="K67:L67"/>
    <mergeCell ref="AB24:AB27"/>
    <mergeCell ref="AC24:AC27"/>
    <mergeCell ref="AB29:AB30"/>
    <mergeCell ref="AC29:AC30"/>
    <mergeCell ref="AE34:AE35"/>
    <mergeCell ref="AC34:AC35"/>
    <mergeCell ref="AE29:AE30"/>
  </mergeCells>
  <conditionalFormatting sqref="G34:G35">
    <cfRule type="expression" dxfId="116" priority="2">
      <formula>$F$35&gt;0</formula>
    </cfRule>
  </conditionalFormatting>
  <conditionalFormatting sqref="G37:G38">
    <cfRule type="expression" dxfId="115" priority="1">
      <formula>($N$38+$P$38+$R$38+$T$38+$X$38+$Z$38)&gt;0</formula>
    </cfRule>
  </conditionalFormatting>
  <conditionalFormatting sqref="G63:H63 G67:H67 G71:H71 G75:H75 G79:H79 G83:H83">
    <cfRule type="expression" dxfId="114" priority="52">
      <formula>($F$93+$AA$6+$AA$11+$AA$21+$AA$26+$AA$51)&gt;0</formula>
    </cfRule>
  </conditionalFormatting>
  <conditionalFormatting sqref="G87:H90">
    <cfRule type="expression" dxfId="113" priority="154">
      <formula>$F$87&gt;0</formula>
    </cfRule>
  </conditionalFormatting>
  <conditionalFormatting sqref="I5:I6">
    <cfRule type="expression" dxfId="112" priority="15">
      <formula>AND($I$5+$I$6=0,$I$4&gt;0)</formula>
    </cfRule>
  </conditionalFormatting>
  <conditionalFormatting sqref="I10:I11">
    <cfRule type="expression" dxfId="111" priority="14">
      <formula>AND(($I$10+$I$11=0),$I$9&gt;0)</formula>
    </cfRule>
  </conditionalFormatting>
  <conditionalFormatting sqref="I20:I21">
    <cfRule type="expression" dxfId="110" priority="13">
      <formula>AND($I$20+$I$21=0,$I$19&gt;0)</formula>
    </cfRule>
  </conditionalFormatting>
  <conditionalFormatting sqref="I25:I26">
    <cfRule type="expression" dxfId="109" priority="12">
      <formula>AND($I$25+$I$26=0,$I$24&gt;0)</formula>
    </cfRule>
  </conditionalFormatting>
  <conditionalFormatting sqref="I45">
    <cfRule type="cellIs" dxfId="108" priority="202" operator="lessThan">
      <formula>$F$45*0.9</formula>
    </cfRule>
  </conditionalFormatting>
  <conditionalFormatting sqref="I50">
    <cfRule type="expression" dxfId="107" priority="5">
      <formula>$I$50&gt;$I$49</formula>
    </cfRule>
  </conditionalFormatting>
  <conditionalFormatting sqref="I50:I51">
    <cfRule type="expression" dxfId="106" priority="329">
      <formula>$I$51+$I$52&lt;&gt;$I$50</formula>
    </cfRule>
  </conditionalFormatting>
  <conditionalFormatting sqref="I51">
    <cfRule type="expression" dxfId="105" priority="3">
      <formula>$I$52&lt;&gt;($O$51+$Q$51+$S$51+$U$51+$V$51+$W$51+$AA$51)</formula>
    </cfRule>
    <cfRule type="expression" dxfId="104" priority="4">
      <formula>$I$51&gt;$I$50</formula>
    </cfRule>
  </conditionalFormatting>
  <conditionalFormatting sqref="I57">
    <cfRule type="expression" dxfId="103" priority="227">
      <formula>$I$56&gt;0</formula>
    </cfRule>
    <cfRule type="expression" dxfId="102" priority="226">
      <formula>OR($I$57&gt;$I$54*100,$I$57&gt;$I$56)</formula>
    </cfRule>
  </conditionalFormatting>
  <conditionalFormatting sqref="I87">
    <cfRule type="expression" dxfId="101" priority="116">
      <formula>I87&gt;F87</formula>
    </cfRule>
  </conditionalFormatting>
  <conditionalFormatting sqref="K4:K7 AE4:AE7">
    <cfRule type="expression" dxfId="100" priority="47">
      <formula>AND($AE$4&gt;0,($P$7+$R$7+$T$7+$X$7+$Z$7)&gt;0)</formula>
    </cfRule>
  </conditionalFormatting>
  <conditionalFormatting sqref="K9:K12 AE9:AE12">
    <cfRule type="expression" dxfId="99" priority="200">
      <formula>AND($AE$9&gt;0,($N$12+$P$12+$R$12+$T$12+$X$12+$Z$12)&gt;0)</formula>
    </cfRule>
  </conditionalFormatting>
  <conditionalFormatting sqref="K14:K15">
    <cfRule type="expression" dxfId="98" priority="34">
      <formula>$AH$14&lt;&gt;""</formula>
    </cfRule>
  </conditionalFormatting>
  <conditionalFormatting sqref="K19:K22 AD19:AD22">
    <cfRule type="expression" dxfId="97" priority="42">
      <formula>AND($AD$19&gt;0,OR($AE$4&gt;0,$AE$9&gt;0,$AE$24&gt;0))</formula>
    </cfRule>
  </conditionalFormatting>
  <conditionalFormatting sqref="K19:K22 AE19:AE22">
    <cfRule type="expression" dxfId="96" priority="46">
      <formula>AND($AE$19&gt;0,($N$22+$P$22+$R$22+$T$22+$X$22+$Z$22)&gt;0)</formula>
    </cfRule>
  </conditionalFormatting>
  <conditionalFormatting sqref="K24:K27 AD24:AD27">
    <cfRule type="expression" dxfId="95" priority="37">
      <formula>AND($AD$24&gt;0,OR($AE$19&gt;0,$AE$9&gt;0,$AE$4&gt;0))</formula>
    </cfRule>
  </conditionalFormatting>
  <conditionalFormatting sqref="K24:K27 AE24:AE27">
    <cfRule type="expression" dxfId="94" priority="45">
      <formula>AND($AE$24&gt;0,($N$27+$P$27+$R$27+$X$27+$Z$27)&gt;0)</formula>
    </cfRule>
  </conditionalFormatting>
  <conditionalFormatting sqref="K37:K38">
    <cfRule type="expression" dxfId="93" priority="31">
      <formula>$AH$37&lt;&gt;""</formula>
    </cfRule>
  </conditionalFormatting>
  <conditionalFormatting sqref="K45:K47">
    <cfRule type="expression" dxfId="92" priority="32">
      <formula>AND($AC$47&gt;0,($Y$6+$Y$11+$Y$21+$Y$26+$Y$92)&gt;0)</formula>
    </cfRule>
    <cfRule type="expression" dxfId="91" priority="33">
      <formula>($N$47+$P$47+$R$47+$T$47+$Z$47)&gt;0</formula>
    </cfRule>
  </conditionalFormatting>
  <conditionalFormatting sqref="K50:K52">
    <cfRule type="expression" dxfId="90" priority="25">
      <formula>AND(($N$47+$P$47+$R$47+$T$47+$Z$47)&gt;0,($O$51+$Q$51+$S$51+$U$51+$V$51+$W$51+$AA$51)&gt;0)</formula>
    </cfRule>
  </conditionalFormatting>
  <conditionalFormatting sqref="K54:K57">
    <cfRule type="expression" dxfId="89" priority="26">
      <formula>$AH$54&lt;&gt;""</formula>
    </cfRule>
  </conditionalFormatting>
  <conditionalFormatting sqref="K91:K93">
    <cfRule type="expression" dxfId="88" priority="22">
      <formula>$AH$91&lt;&gt;""</formula>
    </cfRule>
    <cfRule type="expression" dxfId="87" priority="23">
      <formula>$AH$83&lt;&gt;""</formula>
    </cfRule>
  </conditionalFormatting>
  <conditionalFormatting sqref="M98:M100">
    <cfRule type="expression" dxfId="86" priority="18">
      <formula>AND(LEN($N$98)&lt;20,($U$15*-1)&gt;($F$15*0.1))</formula>
    </cfRule>
  </conditionalFormatting>
  <conditionalFormatting sqref="M103:M105">
    <cfRule type="expression" dxfId="85" priority="17">
      <formula>OR(AND(LEN($N$103)&lt;20,($N$47+$P$47+$R$47+$T$47+$Z$47)&gt;0),AND(LEN($N$103)&lt;20,($AA$6+$AA$11+$AA$21+$AA$26+$AA$51)&gt;0))</formula>
    </cfRule>
  </conditionalFormatting>
  <conditionalFormatting sqref="N4 N9 N19 N24">
    <cfRule type="expression" dxfId="84" priority="55">
      <formula>$N4&lt;&gt;""</formula>
    </cfRule>
  </conditionalFormatting>
  <conditionalFormatting sqref="N24:AA24">
    <cfRule type="expression" dxfId="83" priority="56">
      <formula>$N$24&lt;&gt;""</formula>
    </cfRule>
  </conditionalFormatting>
  <conditionalFormatting sqref="N64:AE85">
    <cfRule type="expression" dxfId="82" priority="71">
      <formula>$N$63&lt;&gt;""</formula>
    </cfRule>
  </conditionalFormatting>
  <conditionalFormatting sqref="N98:AE100">
    <cfRule type="expression" dxfId="81" priority="21">
      <formula>(U15*-1)&gt;(F15*0.1)</formula>
    </cfRule>
  </conditionalFormatting>
  <conditionalFormatting sqref="N103:AE105">
    <cfRule type="expression" dxfId="80" priority="20">
      <formula>OR(($N$47+$P$47+$R$47+$T$47+$Z$47)&gt;0,($N$92+$P$92+$R$92+$T$92+$X$92)&gt;0)</formula>
    </cfRule>
  </conditionalFormatting>
  <conditionalFormatting sqref="O11 S11 U11:V11 Y11 AA11">
    <cfRule type="expression" dxfId="79" priority="203">
      <formula>AND($M$11&gt;0)</formula>
    </cfRule>
  </conditionalFormatting>
  <conditionalFormatting sqref="O21 Q21 U21:V21 Y21 AA21">
    <cfRule type="expression" dxfId="78" priority="209">
      <formula>$M$21&gt;0</formula>
    </cfRule>
  </conditionalFormatting>
  <conditionalFormatting sqref="O21 Q21 U21:W21 Y21 AA21">
    <cfRule type="expression" dxfId="77" priority="54">
      <formula>AND($M$21=0,($O$21+$Q$21+$U$21+$V$21+$W$21+$Y$21+$AA$21))</formula>
    </cfRule>
  </conditionalFormatting>
  <conditionalFormatting sqref="O26 Q26 S26 V26 Y26 AA26">
    <cfRule type="expression" dxfId="76" priority="206">
      <formula>$M$26&gt;0</formula>
    </cfRule>
  </conditionalFormatting>
  <conditionalFormatting sqref="O26 Q26 S26 V26:W26 Y26 AA26">
    <cfRule type="expression" dxfId="75" priority="53">
      <formula>AND($M$26=0,($O$26+$Q$26+$S$26+$V$26+$W$26+$Y$26+$AA$26)&gt;0)</formula>
    </cfRule>
  </conditionalFormatting>
  <conditionalFormatting sqref="O51 Q51 S51 U51:W51 AA51">
    <cfRule type="expression" dxfId="74" priority="6">
      <formula>$O$51+$Q$51+$S$51+$U$51+$V$51+$W$51+$AA$51&gt;$M$51</formula>
    </cfRule>
    <cfRule type="expression" dxfId="73" priority="297">
      <formula>AND($M$51&gt;0,($N$47+$P$47+$R$47+$T$47+$Z$47)=0)</formula>
    </cfRule>
    <cfRule type="expression" dxfId="72" priority="292">
      <formula>$Y$47&gt;0</formula>
    </cfRule>
  </conditionalFormatting>
  <conditionalFormatting sqref="O88">
    <cfRule type="expression" dxfId="71" priority="178">
      <formula>$M$80&gt;0</formula>
    </cfRule>
  </conditionalFormatting>
  <conditionalFormatting sqref="O92 Q92 S92 U92:W92 Y92">
    <cfRule type="expression" dxfId="70" priority="59">
      <formula>$M$92&gt;0</formula>
    </cfRule>
    <cfRule type="expression" dxfId="69" priority="72">
      <formula>AND($M$92=0,SUM($O$92,$Q$92,$S$92,$U$92,$V$92,$W$92,$Y$92)&gt;0)</formula>
    </cfRule>
  </conditionalFormatting>
  <conditionalFormatting sqref="Q6 S6 U6:V6 Y6 AA6">
    <cfRule type="expression" dxfId="68" priority="50">
      <formula>$M$6&gt;0</formula>
    </cfRule>
  </conditionalFormatting>
  <conditionalFormatting sqref="Q6 S6 U6:W6 Y6 AA6">
    <cfRule type="expression" dxfId="67" priority="70">
      <formula>AND($M$6=0,($Q$6+$S$6+$U$6+$V$6+$W$6+$Y$6+$AA$6)&gt;0)</formula>
    </cfRule>
  </conditionalFormatting>
  <conditionalFormatting sqref="Q88">
    <cfRule type="expression" dxfId="66" priority="140">
      <formula>$M$80&gt;0</formula>
    </cfRule>
  </conditionalFormatting>
  <conditionalFormatting sqref="S88">
    <cfRule type="expression" dxfId="65" priority="139">
      <formula>$M$80&gt;0</formula>
    </cfRule>
  </conditionalFormatting>
  <conditionalFormatting sqref="U11:W11 O11 S11 Y11 AA11">
    <cfRule type="expression" dxfId="64" priority="68">
      <formula>AND($M$11=0,($O$11+$S$11+$U$11+$V$11+$W$11+$Y$11+$AA$11)&gt;0)</formula>
    </cfRule>
  </conditionalFormatting>
  <conditionalFormatting sqref="U15:W15">
    <cfRule type="expression" dxfId="63" priority="198">
      <formula>(U15*-1)&gt;($F$15*0.1)</formula>
    </cfRule>
  </conditionalFormatting>
  <conditionalFormatting sqref="U30:W30">
    <cfRule type="expression" dxfId="62" priority="197">
      <formula>(U30*-1)&gt;($F$15*0.1)</formula>
    </cfRule>
  </conditionalFormatting>
  <conditionalFormatting sqref="U37:W38">
    <cfRule type="expression" dxfId="61" priority="7">
      <formula>$I$38&gt;0</formula>
    </cfRule>
  </conditionalFormatting>
  <conditionalFormatting sqref="U88:W88">
    <cfRule type="expression" dxfId="60" priority="136">
      <formula>$M$80&gt;0</formula>
    </cfRule>
  </conditionalFormatting>
  <conditionalFormatting sqref="W6">
    <cfRule type="expression" dxfId="59" priority="49">
      <formula>AND($M$6&gt;0,$I$37&gt;0)</formula>
    </cfRule>
  </conditionalFormatting>
  <conditionalFormatting sqref="W11">
    <cfRule type="expression" dxfId="58" priority="48">
      <formula>AND($M$11&gt;0,$I$37&gt;0)</formula>
    </cfRule>
  </conditionalFormatting>
  <conditionalFormatting sqref="W21">
    <cfRule type="expression" dxfId="57" priority="151">
      <formula>AND($M$21&gt;0,$I$37&gt;0,$I$38&gt;0)</formula>
    </cfRule>
  </conditionalFormatting>
  <conditionalFormatting sqref="W26">
    <cfRule type="expression" dxfId="56" priority="150">
      <formula>AND($M$26&gt;0,$I$37&gt;0,$I$38&gt;0)</formula>
    </cfRule>
  </conditionalFormatting>
  <conditionalFormatting sqref="Y15">
    <cfRule type="expression" dxfId="55" priority="88">
      <formula>(Y15*-1)&gt;($F$15*0.1)</formula>
    </cfRule>
  </conditionalFormatting>
  <conditionalFormatting sqref="Y30">
    <cfRule type="expression" dxfId="54" priority="86">
      <formula>(Y30*-1)&gt;($F$15*0.1)</formula>
    </cfRule>
  </conditionalFormatting>
  <conditionalFormatting sqref="Z91">
    <cfRule type="expression" dxfId="53" priority="235">
      <formula>$Z$91&lt;&gt;""</formula>
    </cfRule>
  </conditionalFormatting>
  <conditionalFormatting sqref="AA15">
    <cfRule type="expression" dxfId="52" priority="87">
      <formula>(AA15*-1)&gt;($F$15*0.1)</formula>
    </cfRule>
  </conditionalFormatting>
  <conditionalFormatting sqref="AA30">
    <cfRule type="expression" dxfId="51" priority="85">
      <formula>(AA30*-1)&gt;($F$15*0.1)</formula>
    </cfRule>
  </conditionalFormatting>
  <conditionalFormatting sqref="AC37:AD37">
    <cfRule type="expression" dxfId="50" priority="98">
      <formula>$AC$37&lt;0</formula>
    </cfRule>
  </conditionalFormatting>
  <conditionalFormatting sqref="AD37">
    <cfRule type="expression" dxfId="49" priority="78">
      <formula>$AC$37&gt;0</formula>
    </cfRule>
  </conditionalFormatting>
  <conditionalFormatting sqref="AD4:AE34 AD40:AE40 AD41 AD42:AE45 AD53:AE54 AE55:AE57 AD58:AE62">
    <cfRule type="cellIs" dxfId="48" priority="234" operator="equal">
      <formula>0</formula>
    </cfRule>
  </conditionalFormatting>
  <conditionalFormatting sqref="AD45:AE45">
    <cfRule type="expression" dxfId="47" priority="322">
      <formula>AND($AC$47&gt;0,(Y6+Y11+Y21+Y26+Y92)&gt;0)</formula>
    </cfRule>
  </conditionalFormatting>
  <conditionalFormatting sqref="AD54:AE57">
    <cfRule type="expression" dxfId="46" priority="75">
      <formula>AND($AC$56&gt;0,($N$56+$P$56+$R$56+$T$56+$X$56+$Z$56)&gt;0)</formula>
    </cfRule>
  </conditionalFormatting>
  <conditionalFormatting sqref="AD91:AE91">
    <cfRule type="cellIs" dxfId="45" priority="90" operator="equal">
      <formula>0</formula>
    </cfRule>
  </conditionalFormatting>
  <conditionalFormatting sqref="AE37">
    <cfRule type="expression" dxfId="44" priority="77">
      <formula>$AE$37&lt;&gt;0</formula>
    </cfRule>
  </conditionalFormatting>
  <conditionalFormatting sqref="AE91:AE93">
    <cfRule type="expression" dxfId="43" priority="44">
      <formula>AND($AE$91&gt;0,($N$93+$P$93+$R$93+$T$93+$X$93)&gt;0)</formula>
    </cfRule>
  </conditionalFormatting>
  <conditionalFormatting sqref="AH4:AL7">
    <cfRule type="expression" dxfId="42" priority="41">
      <formula>$AH$4&lt;&gt;""</formula>
    </cfRule>
  </conditionalFormatting>
  <conditionalFormatting sqref="AH9:AL12">
    <cfRule type="expression" dxfId="41" priority="40">
      <formula>$AH$9&lt;&gt;""</formula>
    </cfRule>
  </conditionalFormatting>
  <conditionalFormatting sqref="AH14:AL15">
    <cfRule type="expression" dxfId="40" priority="36">
      <formula>$AH$14&lt;&gt;""</formula>
    </cfRule>
  </conditionalFormatting>
  <conditionalFormatting sqref="AH19:AL22">
    <cfRule type="expression" dxfId="39" priority="39">
      <formula>$AH$19&lt;&gt;""</formula>
    </cfRule>
  </conditionalFormatting>
  <conditionalFormatting sqref="AH24:AL27">
    <cfRule type="expression" dxfId="38" priority="38">
      <formula>$AH$24&lt;&gt;""</formula>
    </cfRule>
  </conditionalFormatting>
  <conditionalFormatting sqref="AH37:AL38">
    <cfRule type="expression" dxfId="37" priority="28">
      <formula>$AH$37&lt;&gt;""</formula>
    </cfRule>
  </conditionalFormatting>
  <conditionalFormatting sqref="AH45:AL47">
    <cfRule type="expression" dxfId="36" priority="35">
      <formula>$AH$45&lt;&gt;""</formula>
    </cfRule>
  </conditionalFormatting>
  <conditionalFormatting sqref="AH50:AL52">
    <cfRule type="expression" dxfId="35" priority="30">
      <formula>$AH$50&lt;&gt;""</formula>
    </cfRule>
  </conditionalFormatting>
  <conditionalFormatting sqref="AH54:AL57">
    <cfRule type="expression" dxfId="34" priority="29">
      <formula>$AH$54&lt;&gt;""</formula>
    </cfRule>
  </conditionalFormatting>
  <conditionalFormatting sqref="AH83:AL85">
    <cfRule type="expression" dxfId="33" priority="24">
      <formula>$AH$83&lt;&gt;""</formula>
    </cfRule>
  </conditionalFormatting>
  <conditionalFormatting sqref="AH91:AL93">
    <cfRule type="expression" dxfId="32" priority="27">
      <formula>$AH$91&lt;&gt;""</formula>
    </cfRule>
  </conditionalFormatting>
  <conditionalFormatting sqref="AH98:AL100">
    <cfRule type="expression" dxfId="31" priority="19">
      <formula>$AH$98&lt;&gt;""</formula>
    </cfRule>
  </conditionalFormatting>
  <conditionalFormatting sqref="AH103:AL105">
    <cfRule type="expression" dxfId="30" priority="16">
      <formula>$AH$103&lt;&gt;""</formula>
    </cfRule>
  </conditionalFormatting>
  <conditionalFormatting sqref="AN4:AP7">
    <cfRule type="expression" dxfId="29" priority="10">
      <formula>$AN$4&lt;&gt;""</formula>
    </cfRule>
  </conditionalFormatting>
  <conditionalFormatting sqref="AN9:AP12">
    <cfRule type="expression" dxfId="28" priority="11">
      <formula>$AN$9&lt;&gt;""</formula>
    </cfRule>
  </conditionalFormatting>
  <conditionalFormatting sqref="AN19:AP22">
    <cfRule type="expression" dxfId="27" priority="9">
      <formula>$AN$19&lt;&gt;""</formula>
    </cfRule>
  </conditionalFormatting>
  <conditionalFormatting sqref="AN24:AP27">
    <cfRule type="expression" dxfId="26" priority="8">
      <formula>$AN$24&lt;&gt;""</formula>
    </cfRule>
  </conditionalFormatting>
  <dataValidations count="21">
    <dataValidation type="list" allowBlank="1" showInputMessage="1" showErrorMessage="1" sqref="C1:D1" xr:uid="{0C6814AE-4C89-46F2-8C3F-6E542256BE57}">
      <formula1>E_Code</formula1>
    </dataValidation>
    <dataValidation type="custom" allowBlank="1" showInputMessage="1" showErrorMessage="1" errorTitle="Betrag zu hoch!" error="Es kann in Summe maximal die Vertragssumme eingetragen werden." sqref="G82 G86 G89:H90" xr:uid="{8A4395F2-9FFD-4968-872F-872721A0AD3D}">
      <formula1>(G82+H82)&lt;=F82</formula1>
    </dataValidation>
    <dataValidation type="custom" allowBlank="1" showInputMessage="1" showErrorMessage="1" errorTitle="Betrag zu hoch!" error="Es kann in Summe maximal die Vertragssumme eingetragen werden." sqref="H82 H86" xr:uid="{D60A280B-BE10-4424-9EC8-A3357AC116B6}">
      <formula1>(G82+H82)&lt;=F82</formula1>
    </dataValidation>
    <dataValidation type="decimal" allowBlank="1" showInputMessage="1" showErrorMessage="1" errorTitle="Betrag zu hoch!" error="Es kann maximal der oberhalb angezeigte Betrag eingetragen werden." sqref="K57" xr:uid="{585335BB-EDBE-4948-A977-E92DA47E471C}">
      <formula1>0</formula1>
      <formula2>K55</formula2>
    </dataValidation>
    <dataValidation type="custom" allowBlank="1" showInputMessage="1" showErrorMessage="1" errorTitle="Summe Umschichtungen zu hoch!" error="Es kann maximal der zur Verfügung stehende Betrag umgeschichtet werden." sqref="O88 U88:W88 S88 Q88" xr:uid="{D70065D3-A098-4B1A-BB51-56F6906BB9D4}">
      <formula1>($O$80+$Q$80+$S$80+$U$80+$V$80)&lt;=$M$80</formula1>
    </dataValidation>
    <dataValidation allowBlank="1" showInputMessage="1" showErrorMessage="1" errorTitle="Betrag zu hoch!" error="Es kann maximal der Betrag für 20 Mobilitäten pro BIP berichtet werden." sqref="G65:H65 G69:H69 G73:H73 G77:H77 G81:H81 G85:H85" xr:uid="{0643E3AA-9CF4-40B3-B1CA-B13055273017}"/>
    <dataValidation type="custom" allowBlank="1" showInputMessage="1" showErrorMessage="1" sqref="V55" xr:uid="{35838BC0-CE35-41CE-A04C-C39F1DF7091B}">
      <formula1>V55&lt;=(M55+0.001)</formula1>
    </dataValidation>
    <dataValidation type="custom" allowBlank="1" showInputMessage="1" showErrorMessage="1" errorTitle="Summe Umschichtungen zu hoch!" error="Es kann maximal der zur Verfügung stehende Betrag umgeschichtet werden." sqref="Q52 U52:W52 W50 W46 S52 O52" xr:uid="{BCAB2008-C437-4207-9118-D50CDCB46687}">
      <formula1>($O$51+$Q$51+$S$51+$U$51)&lt;=$M$51</formula1>
    </dataValidation>
    <dataValidation type="custom" allowBlank="1" showInputMessage="1" showErrorMessage="1" errorTitle="Summe Umschichtungen zu hoch!" error="Es kann maximal der zur Verfügung stehende Betrag umgeschichtet werden." sqref="U35:U37 U39:W39 O35:O39 Q35:Q39 V35:W36" xr:uid="{781A55C9-DC2A-45C0-BF78-2C44DA028BEC}">
      <formula1>($O$21+$Q$21+$U$21)&lt;=$M$21</formula1>
    </dataValidation>
    <dataValidation type="custom" allowBlank="1" showInputMessage="1" showErrorMessage="1" errorTitle="Umschichtungen zu hoch!" error="Es kann in Summe max. der in Spalte M angeführte Betrag umgeschichtet werden." sqref="O92 Q92 S92 U92:W92 Y92" xr:uid="{EC5B7CB9-7427-4745-8F18-784C02C3C182}">
      <formula1>($O$92+$Q$92+$S$92+$U$92+$V$92+$W$92+$W$92+$Y$92)&lt;=($M$92+0.001)</formula1>
    </dataValidation>
    <dataValidation type="decimal" operator="lessThanOrEqual" allowBlank="1" showInputMessage="1" showErrorMessage="1" errorTitle="Betrag zu hoch!" error="Sie mönnen maximal den in der Vereinbarung angeführten Betrag eingeben." sqref="G35" xr:uid="{E1D55C41-5732-44B6-B246-214557B6E1E4}">
      <formula1>F35</formula1>
    </dataValidation>
    <dataValidation allowBlank="1" showInputMessage="1" showErrorMessage="1" errorTitle="Betrag zu hoch!" error="Es kann maximal der niedrigere der beiden oberhalb angezeigten Beträge eingetragen werden." sqref="I52" xr:uid="{D924D454-F524-43BA-80B5-631F2CD5DA2F}"/>
    <dataValidation type="textLength" allowBlank="1" showInputMessage="1" showErrorMessage="1" errorTitle="Textlänge" error="Begründung zu kurz oder zu lange!" sqref="N103:AE105 N98:AE100" xr:uid="{A6826CBB-D0E2-4CB6-A2A7-3980911A16DB}">
      <formula1>20</formula1>
      <formula2>1000</formula2>
    </dataValidation>
    <dataValidation type="decimal" allowBlank="1" showInputMessage="1" showErrorMessage="1" errorTitle="Betrag zu hoch!" error="Es kann maximal der darüber angezeigte Betrag eingetragen werden." sqref="I50" xr:uid="{98C39FD5-0F80-4941-A246-244360C30022}">
      <formula1>0</formula1>
      <formula2>I49</formula2>
    </dataValidation>
    <dataValidation type="custom" allowBlank="1" showInputMessage="1" showErrorMessage="1" errorTitle="Umschichtung zu hoch!" error="Es kann in Summe max. der verfügbare Betrag umgeschichtet werden." sqref="Q6 S6 U6:W6 Y6 AA6" xr:uid="{DA24C82E-125A-4B07-87C0-F9E48F21B4AE}">
      <formula1>($O6+$Q6+$S6+$U6+$V6+$W6+$Y6+$AA6)&lt;=($M6+0.001)</formula1>
    </dataValidation>
    <dataValidation type="custom" allowBlank="1" showInputMessage="1" showErrorMessage="1" errorTitle="Umschichtung zu hoch!" error="Es kann in Summe max. der verfügbare Betrag umgeschichtet werden." sqref="O11 S11 U11:W11 Y11 AA11" xr:uid="{8E7CA873-A7A8-4D7C-A5A9-31985298EFBE}">
      <formula1>($O$11+$S$11+$U$11+$V$11+$W$11+$Y$11+$AA$11)&lt;=($M$11+0.001)</formula1>
    </dataValidation>
    <dataValidation type="custom" allowBlank="1" showInputMessage="1" showErrorMessage="1" errorTitle="Umschichtung zu hoch!" error="Es kann in Summe max. der verfügbare Betrag umgeschichtet werden." sqref="O21 Q21 U21:W21 Y21 AA21" xr:uid="{C5ED91B6-719B-48B6-AADE-F61B1D611DCF}">
      <formula1>($O$21+$Q$21+$U$21+$V$21+$W$21+$Y$21+$AA$21)&lt;=($M$21+0.001)</formula1>
    </dataValidation>
    <dataValidation type="custom" allowBlank="1" showInputMessage="1" showErrorMessage="1" errorTitle="Umschichtung zu hoch!" error="Es kann in Summe max. der verfügbare Betrag umgeschichtet werden." sqref="O26 Q26 S26 V26:W26 Y26 AA26" xr:uid="{12292174-38D9-4AC4-8EB0-3F3220546B32}">
      <formula1>$O$26+$Q$26+$S$26+$V$26+$W$26+$Y$26+$AA$26&lt;=($M$26+0.001)</formula1>
    </dataValidation>
    <dataValidation type="custom" allowBlank="1" showInputMessage="1" showErrorMessage="1" errorTitle="Umschichtung zu hoch!" error="Es kann in Summe max. der verfügbare Betrag umgeschichtet werden." sqref="O51 Q51 S51 U51:W51 AA51" xr:uid="{DBD76114-F4E3-4A5F-87C1-5CD1721AE4A2}">
      <formula1>($O$51+$Q$51+$S$51+$U$51+$V$51+$W$51+$AA$51)&lt;=($M$51+0.001)</formula1>
    </dataValidation>
    <dataValidation type="decimal" allowBlank="1" showInputMessage="1" showErrorMessage="1" errorTitle="Betrag zu hoch!" error="Es kann maximal der beanspruchte Betrag für OS verwendet werden." sqref="I51" xr:uid="{35636574-FB85-434C-897A-ECDDE18BD75B}">
      <formula1>0</formula1>
      <formula2>I50</formula2>
    </dataValidation>
    <dataValidation type="decimal" allowBlank="1" showInputMessage="1" showErrorMessage="1" errorTitle="Betrag zu hoch!" error="Es kann maximal der oberhalb angezeigte Betrag eingetragen werden." sqref="J56 I57" xr:uid="{20F802D5-56BE-4C9B-8E47-027B2E7EA217}">
      <formula1>0</formula1>
      <formula2>I55</formula2>
    </dataValidation>
  </dataValidations>
  <pageMargins left="0.24" right="0.31496062992125984" top="0.39370078740157483" bottom="0.51181102362204722" header="0.31496062992125984" footer="0.31496062992125984"/>
  <pageSetup paperSize="8" scale="43" orientation="landscape" r:id="rId1"/>
  <headerFooter>
    <oddFooter>&amp;L&amp;"Calibri,Standard"&amp;9Ben_InRe2-KA131_Call2021-0.1.2_v2022-02-25_frei&amp;R&amp;"Calibri,Standard"&amp;9gedruckt am: &amp;D</oddFooter>
  </headerFooter>
  <ignoredErrors>
    <ignoredError sqref="G87:G88 H87:H88 G89:H89" unlockedFormula="1"/>
    <ignoredError sqref="I45 X27 X22 X7 X12"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FEFA8-0A76-4E0E-8149-4A328621E88E}">
  <dimension ref="A1:E47"/>
  <sheetViews>
    <sheetView workbookViewId="0"/>
  </sheetViews>
  <sheetFormatPr baseColWidth="10" defaultColWidth="11.42578125" defaultRowHeight="12.75" x14ac:dyDescent="0.2"/>
  <cols>
    <col min="1" max="1" width="8" style="1" customWidth="1"/>
    <col min="2" max="2" width="45.140625" style="1" customWidth="1"/>
    <col min="3" max="3" width="9.140625" style="1" hidden="1" customWidth="1"/>
    <col min="4" max="4" width="16.85546875" style="1" customWidth="1"/>
    <col min="5" max="5" width="16.42578125" style="1" customWidth="1"/>
    <col min="6" max="16384" width="11.42578125" style="1"/>
  </cols>
  <sheetData>
    <row r="1" spans="2:5" ht="18.75" x14ac:dyDescent="0.3">
      <c r="B1" s="675" t="s">
        <v>416</v>
      </c>
      <c r="C1" s="675"/>
      <c r="D1" s="675"/>
      <c r="E1" s="675"/>
    </row>
    <row r="2" spans="2:5" ht="13.5" thickBot="1" x14ac:dyDescent="0.25">
      <c r="E2" s="62" t="str">
        <f>Erklärung!J6</f>
        <v>1.1.0.e</v>
      </c>
    </row>
    <row r="3" spans="2:5" ht="13.5" thickBot="1" x14ac:dyDescent="0.25">
      <c r="B3" s="1" t="s">
        <v>412</v>
      </c>
      <c r="D3" s="676" t="str">
        <f>'Dateneingabe Mobilitäten'!$C$1</f>
        <v>&lt;-- Bitte Erasmus Code auswählen --&gt;</v>
      </c>
      <c r="E3" s="677"/>
    </row>
    <row r="4" spans="2:5" x14ac:dyDescent="0.2">
      <c r="E4" s="169"/>
    </row>
    <row r="6" spans="2:5" x14ac:dyDescent="0.2">
      <c r="B6" s="1" t="s">
        <v>413</v>
      </c>
      <c r="C6" s="1" t="s">
        <v>455</v>
      </c>
      <c r="D6" s="1" t="s">
        <v>414</v>
      </c>
      <c r="E6" s="137" t="s">
        <v>415</v>
      </c>
    </row>
    <row r="7" spans="2:5" s="38" customFormat="1" ht="21" customHeight="1" x14ac:dyDescent="0.2">
      <c r="B7" s="138" t="str">
        <f>IF(ISBLANK(BIPs_NEU[[#This Row],[Anzahl Personen]]),"","Hier muss ein Name für das BIP angegeben werden!")</f>
        <v/>
      </c>
      <c r="C7" s="166" t="str">
        <f>IF(BIPs_NEU[[#This Row],[Anzahl Personen]]="","",BIPs_NEU[[#This Row],[Anzahl Personen]])</f>
        <v/>
      </c>
      <c r="D7" s="138"/>
      <c r="E7" s="139">
        <f>IF(AND(BIPs_NEU[[#This Row],[Anzahl Personen]]&gt;=15,BIPs_NEU[[#This Row],[Anzahl Personen]]&lt;=20),BIPs_NEU[[#This Row],[Anzahl Personen]]*400,IF(BIPs_NEU[[#This Row],[Anzahl Personen]]&gt;20,8000,0))</f>
        <v>0</v>
      </c>
    </row>
    <row r="8" spans="2:5" s="38" customFormat="1" ht="21" customHeight="1" x14ac:dyDescent="0.2">
      <c r="B8" s="138" t="str">
        <f>IF(ISBLANK(BIPs_NEU[[#This Row],[Anzahl Personen]]),"","Hier muss ein Name für das BIP angegeben werden!")</f>
        <v/>
      </c>
      <c r="C8" s="166" t="str">
        <f>IF(BIPs_NEU[[#This Row],[Anzahl Personen]]="","",BIPs_NEU[[#This Row],[Anzahl Personen]])</f>
        <v/>
      </c>
      <c r="D8" s="138"/>
      <c r="E8" s="139">
        <f>IF(AND(BIPs_NEU[[#This Row],[Anzahl Personen]]&gt;=15,BIPs_NEU[[#This Row],[Anzahl Personen]]&lt;=20),BIPs_NEU[[#This Row],[Anzahl Personen]]*400,IF(BIPs_NEU[[#This Row],[Anzahl Personen]]&gt;20,8000,0))</f>
        <v>0</v>
      </c>
    </row>
    <row r="9" spans="2:5" s="38" customFormat="1" ht="21" customHeight="1" x14ac:dyDescent="0.2">
      <c r="B9" s="138" t="str">
        <f>IF(ISBLANK(BIPs_NEU[[#This Row],[Anzahl Personen]]),"","Hier muss ein Name für das BIP angegeben werden!")</f>
        <v/>
      </c>
      <c r="C9" s="166" t="str">
        <f>IF(BIPs_NEU[[#This Row],[Anzahl Personen]]="","",BIPs_NEU[[#This Row],[Anzahl Personen]])</f>
        <v/>
      </c>
      <c r="D9" s="138"/>
      <c r="E9" s="139">
        <f>IF(AND(BIPs_NEU[[#This Row],[Anzahl Personen]]&gt;=15,BIPs_NEU[[#This Row],[Anzahl Personen]]&lt;=20),BIPs_NEU[[#This Row],[Anzahl Personen]]*400,IF(BIPs_NEU[[#This Row],[Anzahl Personen]]&gt;20,8000,0))</f>
        <v>0</v>
      </c>
    </row>
    <row r="10" spans="2:5" s="38" customFormat="1" ht="21" customHeight="1" x14ac:dyDescent="0.2">
      <c r="B10" s="138" t="str">
        <f>IF(ISBLANK(BIPs_NEU[[#This Row],[Anzahl Personen]]),"","Hier muss ein Name für das BIP angegeben werden!")</f>
        <v/>
      </c>
      <c r="C10" s="166" t="str">
        <f>IF(BIPs_NEU[[#This Row],[Anzahl Personen]]="","",BIPs_NEU[[#This Row],[Anzahl Personen]])</f>
        <v/>
      </c>
      <c r="D10" s="138"/>
      <c r="E10" s="139">
        <f>IF(AND(BIPs_NEU[[#This Row],[Anzahl Personen]]&gt;=15,BIPs_NEU[[#This Row],[Anzahl Personen]]&lt;=20),BIPs_NEU[[#This Row],[Anzahl Personen]]*400,IF(BIPs_NEU[[#This Row],[Anzahl Personen]]&gt;20,8000,0))</f>
        <v>0</v>
      </c>
    </row>
    <row r="11" spans="2:5" s="38" customFormat="1" ht="21" customHeight="1" x14ac:dyDescent="0.2">
      <c r="B11" s="138" t="str">
        <f>IF(ISBLANK(BIPs_NEU[[#This Row],[Anzahl Personen]]),"","Hier muss ein Name für das BIP angegeben werden!")</f>
        <v/>
      </c>
      <c r="C11" s="166" t="str">
        <f>IF(BIPs_NEU[[#This Row],[Anzahl Personen]]="","",BIPs_NEU[[#This Row],[Anzahl Personen]])</f>
        <v/>
      </c>
      <c r="D11" s="138"/>
      <c r="E11" s="139">
        <f>IF(AND(BIPs_NEU[[#This Row],[Anzahl Personen]]&gt;=15,BIPs_NEU[[#This Row],[Anzahl Personen]]&lt;=20),BIPs_NEU[[#This Row],[Anzahl Personen]]*400,IF(BIPs_NEU[[#This Row],[Anzahl Personen]]&gt;20,8000,0))</f>
        <v>0</v>
      </c>
    </row>
    <row r="12" spans="2:5" s="38" customFormat="1" ht="21" customHeight="1" x14ac:dyDescent="0.2">
      <c r="B12" s="138" t="str">
        <f>IF(ISBLANK(BIPs_NEU[[#This Row],[Anzahl Personen]]),"","Hier muss ein Name für das BIP angegeben werden!")</f>
        <v/>
      </c>
      <c r="C12" s="166" t="str">
        <f>IF(BIPs_NEU[[#This Row],[Anzahl Personen]]="","",BIPs_NEU[[#This Row],[Anzahl Personen]])</f>
        <v/>
      </c>
      <c r="D12" s="138"/>
      <c r="E12" s="139">
        <f>IF(AND(BIPs_NEU[[#This Row],[Anzahl Personen]]&gt;=15,BIPs_NEU[[#This Row],[Anzahl Personen]]&lt;=20),BIPs_NEU[[#This Row],[Anzahl Personen]]*400,IF(BIPs_NEU[[#This Row],[Anzahl Personen]]&gt;20,8000,0))</f>
        <v>0</v>
      </c>
    </row>
    <row r="13" spans="2:5" s="38" customFormat="1" ht="21" customHeight="1" x14ac:dyDescent="0.2">
      <c r="B13" s="138" t="str">
        <f>IF(ISBLANK(BIPs_NEU[[#This Row],[Anzahl Personen]]),"","Hier muss ein Name für das BIP angegeben werden!")</f>
        <v/>
      </c>
      <c r="C13" s="166" t="str">
        <f>IF(BIPs_NEU[[#This Row],[Anzahl Personen]]="","",BIPs_NEU[[#This Row],[Anzahl Personen]])</f>
        <v/>
      </c>
      <c r="D13" s="138"/>
      <c r="E13" s="139">
        <f>IF(AND(BIPs_NEU[[#This Row],[Anzahl Personen]]&gt;=15,BIPs_NEU[[#This Row],[Anzahl Personen]]&lt;=20),BIPs_NEU[[#This Row],[Anzahl Personen]]*400,IF(BIPs_NEU[[#This Row],[Anzahl Personen]]&gt;20,8000,0))</f>
        <v>0</v>
      </c>
    </row>
    <row r="14" spans="2:5" s="38" customFormat="1" ht="21" customHeight="1" x14ac:dyDescent="0.2">
      <c r="B14" s="138" t="str">
        <f>IF(ISBLANK(BIPs_NEU[[#This Row],[Anzahl Personen]]),"","Hier muss ein Name für das BIP angegeben werden!")</f>
        <v/>
      </c>
      <c r="C14" s="166" t="str">
        <f>IF(BIPs_NEU[[#This Row],[Anzahl Personen]]="","",BIPs_NEU[[#This Row],[Anzahl Personen]])</f>
        <v/>
      </c>
      <c r="D14" s="138"/>
      <c r="E14" s="139">
        <f>IF(AND(BIPs_NEU[[#This Row],[Anzahl Personen]]&gt;=15,BIPs_NEU[[#This Row],[Anzahl Personen]]&lt;=20),BIPs_NEU[[#This Row],[Anzahl Personen]]*400,IF(BIPs_NEU[[#This Row],[Anzahl Personen]]&gt;20,8000,0))</f>
        <v>0</v>
      </c>
    </row>
    <row r="15" spans="2:5" s="38" customFormat="1" ht="21" customHeight="1" x14ac:dyDescent="0.2">
      <c r="B15" s="138" t="str">
        <f>IF(ISBLANK(BIPs_NEU[[#This Row],[Anzahl Personen]]),"","Hier muss ein Name für das BIP angegeben werden!")</f>
        <v/>
      </c>
      <c r="C15" s="166" t="str">
        <f>IF(BIPs_NEU[[#This Row],[Anzahl Personen]]="","",BIPs_NEU[[#This Row],[Anzahl Personen]])</f>
        <v/>
      </c>
      <c r="D15" s="138"/>
      <c r="E15" s="139">
        <f>IF(AND(BIPs_NEU[[#This Row],[Anzahl Personen]]&gt;=15,BIPs_NEU[[#This Row],[Anzahl Personen]]&lt;=20),BIPs_NEU[[#This Row],[Anzahl Personen]]*400,IF(BIPs_NEU[[#This Row],[Anzahl Personen]]&gt;20,8000,0))</f>
        <v>0</v>
      </c>
    </row>
    <row r="16" spans="2:5" s="38" customFormat="1" ht="21" customHeight="1" x14ac:dyDescent="0.2">
      <c r="B16" s="138" t="str">
        <f>IF(ISBLANK(BIPs_NEU[[#This Row],[Anzahl Personen]]),"","Hier muss ein Name für das BIP angegeben werden!")</f>
        <v/>
      </c>
      <c r="C16" s="166" t="str">
        <f>IF(BIPs_NEU[[#This Row],[Anzahl Personen]]="","",BIPs_NEU[[#This Row],[Anzahl Personen]])</f>
        <v/>
      </c>
      <c r="D16" s="138"/>
      <c r="E16" s="139">
        <f>IF(AND(BIPs_NEU[[#This Row],[Anzahl Personen]]&gt;=15,BIPs_NEU[[#This Row],[Anzahl Personen]]&lt;=20),BIPs_NEU[[#This Row],[Anzahl Personen]]*400,IF(BIPs_NEU[[#This Row],[Anzahl Personen]]&gt;20,8000,0))</f>
        <v>0</v>
      </c>
    </row>
    <row r="17" spans="2:5" s="38" customFormat="1" ht="21" customHeight="1" x14ac:dyDescent="0.2">
      <c r="B17" s="138" t="str">
        <f>IF(ISBLANK(BIPs_NEU[[#This Row],[Anzahl Personen]]),"","Hier muss ein Name für das BIP angegeben werden!")</f>
        <v/>
      </c>
      <c r="C17" s="166" t="str">
        <f>IF(BIPs_NEU[[#This Row],[Anzahl Personen]]="","",BIPs_NEU[[#This Row],[Anzahl Personen]])</f>
        <v/>
      </c>
      <c r="D17" s="138"/>
      <c r="E17" s="139">
        <f>IF(AND(BIPs_NEU[[#This Row],[Anzahl Personen]]&gt;=15,BIPs_NEU[[#This Row],[Anzahl Personen]]&lt;=20),BIPs_NEU[[#This Row],[Anzahl Personen]]*400,IF(BIPs_NEU[[#This Row],[Anzahl Personen]]&gt;20,8000,0))</f>
        <v>0</v>
      </c>
    </row>
    <row r="18" spans="2:5" s="38" customFormat="1" ht="21" customHeight="1" x14ac:dyDescent="0.2">
      <c r="B18" s="138" t="str">
        <f>IF(ISBLANK(BIPs_NEU[[#This Row],[Anzahl Personen]]),"","Hier muss ein Name für das BIP angegeben werden!")</f>
        <v/>
      </c>
      <c r="C18" s="166" t="str">
        <f>IF(BIPs_NEU[[#This Row],[Anzahl Personen]]="","",BIPs_NEU[[#This Row],[Anzahl Personen]])</f>
        <v/>
      </c>
      <c r="D18" s="138"/>
      <c r="E18" s="139">
        <f>IF(AND(BIPs_NEU[[#This Row],[Anzahl Personen]]&gt;=15,BIPs_NEU[[#This Row],[Anzahl Personen]]&lt;=20),BIPs_NEU[[#This Row],[Anzahl Personen]]*400,IF(BIPs_NEU[[#This Row],[Anzahl Personen]]&gt;20,8000,0))</f>
        <v>0</v>
      </c>
    </row>
    <row r="19" spans="2:5" s="38" customFormat="1" ht="21" customHeight="1" x14ac:dyDescent="0.2">
      <c r="B19" s="138" t="str">
        <f>IF(ISBLANK(BIPs_NEU[[#This Row],[Anzahl Personen]]),"","Hier muss ein Name für das BIP angegeben werden!")</f>
        <v/>
      </c>
      <c r="C19" s="166" t="str">
        <f>IF(BIPs_NEU[[#This Row],[Anzahl Personen]]="","",BIPs_NEU[[#This Row],[Anzahl Personen]])</f>
        <v/>
      </c>
      <c r="D19" s="138"/>
      <c r="E19" s="139">
        <f>IF(AND(BIPs_NEU[[#This Row],[Anzahl Personen]]&gt;=15,BIPs_NEU[[#This Row],[Anzahl Personen]]&lt;=20),BIPs_NEU[[#This Row],[Anzahl Personen]]*400,IF(BIPs_NEU[[#This Row],[Anzahl Personen]]&gt;20,8000,0))</f>
        <v>0</v>
      </c>
    </row>
    <row r="20" spans="2:5" s="38" customFormat="1" ht="21" customHeight="1" x14ac:dyDescent="0.2">
      <c r="B20" s="138" t="str">
        <f>IF(ISBLANK(BIPs_NEU[[#This Row],[Anzahl Personen]]),"","Hier muss ein Name für das BIP angegeben werden!")</f>
        <v/>
      </c>
      <c r="C20" s="166" t="str">
        <f>IF(BIPs_NEU[[#This Row],[Anzahl Personen]]="","",BIPs_NEU[[#This Row],[Anzahl Personen]])</f>
        <v/>
      </c>
      <c r="D20" s="138"/>
      <c r="E20" s="139">
        <f>IF(AND(BIPs_NEU[[#This Row],[Anzahl Personen]]&gt;=15,BIPs_NEU[[#This Row],[Anzahl Personen]]&lt;=20),BIPs_NEU[[#This Row],[Anzahl Personen]]*400,IF(BIPs_NEU[[#This Row],[Anzahl Personen]]&gt;20,8000,0))</f>
        <v>0</v>
      </c>
    </row>
    <row r="21" spans="2:5" s="38" customFormat="1" ht="21" customHeight="1" x14ac:dyDescent="0.2">
      <c r="B21" s="138" t="str">
        <f>IF(ISBLANK(BIPs_NEU[[#This Row],[Anzahl Personen]]),"","Hier muss ein Name für das BIP angegeben werden!")</f>
        <v/>
      </c>
      <c r="C21" s="166" t="str">
        <f>IF(BIPs_NEU[[#This Row],[Anzahl Personen]]="","",BIPs_NEU[[#This Row],[Anzahl Personen]])</f>
        <v/>
      </c>
      <c r="D21" s="138"/>
      <c r="E21" s="139">
        <f>IF(AND(BIPs_NEU[[#This Row],[Anzahl Personen]]&gt;=15,BIPs_NEU[[#This Row],[Anzahl Personen]]&lt;=20),BIPs_NEU[[#This Row],[Anzahl Personen]]*400,IF(BIPs_NEU[[#This Row],[Anzahl Personen]]&gt;20,8000,0))</f>
        <v>0</v>
      </c>
    </row>
    <row r="22" spans="2:5" s="38" customFormat="1" ht="21" customHeight="1" x14ac:dyDescent="0.2">
      <c r="B22" s="138" t="str">
        <f>IF(ISBLANK(BIPs_NEU[[#This Row],[Anzahl Personen]]),"","Hier muss ein Name für das BIP angegeben werden!")</f>
        <v/>
      </c>
      <c r="C22" s="166" t="str">
        <f>IF(BIPs_NEU[[#This Row],[Anzahl Personen]]="","",BIPs_NEU[[#This Row],[Anzahl Personen]])</f>
        <v/>
      </c>
      <c r="D22" s="138"/>
      <c r="E22" s="139">
        <f>IF(AND(BIPs_NEU[[#This Row],[Anzahl Personen]]&gt;=15,BIPs_NEU[[#This Row],[Anzahl Personen]]&lt;=20),BIPs_NEU[[#This Row],[Anzahl Personen]]*400,IF(BIPs_NEU[[#This Row],[Anzahl Personen]]&gt;20,8000,0))</f>
        <v>0</v>
      </c>
    </row>
    <row r="23" spans="2:5" s="38" customFormat="1" ht="21" customHeight="1" x14ac:dyDescent="0.2">
      <c r="B23" s="138" t="str">
        <f>IF(ISBLANK(BIPs_NEU[[#This Row],[Anzahl Personen]]),"","Hier muss ein Name für das BIP angegeben werden!")</f>
        <v/>
      </c>
      <c r="C23" s="166" t="str">
        <f>IF(BIPs_NEU[[#This Row],[Anzahl Personen]]="","",BIPs_NEU[[#This Row],[Anzahl Personen]])</f>
        <v/>
      </c>
      <c r="D23" s="138"/>
      <c r="E23" s="139">
        <f>IF(AND(BIPs_NEU[[#This Row],[Anzahl Personen]]&gt;=15,BIPs_NEU[[#This Row],[Anzahl Personen]]&lt;=20),BIPs_NEU[[#This Row],[Anzahl Personen]]*400,IF(BIPs_NEU[[#This Row],[Anzahl Personen]]&gt;20,8000,0))</f>
        <v>0</v>
      </c>
    </row>
    <row r="24" spans="2:5" s="38" customFormat="1" ht="21" customHeight="1" x14ac:dyDescent="0.2">
      <c r="B24" s="138" t="str">
        <f>IF(ISBLANK(BIPs_NEU[[#This Row],[Anzahl Personen]]),"","Hier muss ein Name für das BIP angegeben werden!")</f>
        <v/>
      </c>
      <c r="C24" s="166" t="str">
        <f>IF(BIPs_NEU[[#This Row],[Anzahl Personen]]="","",BIPs_NEU[[#This Row],[Anzahl Personen]])</f>
        <v/>
      </c>
      <c r="D24" s="138"/>
      <c r="E24" s="139">
        <f>IF(AND(BIPs_NEU[[#This Row],[Anzahl Personen]]&gt;=15,BIPs_NEU[[#This Row],[Anzahl Personen]]&lt;=20),BIPs_NEU[[#This Row],[Anzahl Personen]]*400,IF(BIPs_NEU[[#This Row],[Anzahl Personen]]&gt;20,8000,0))</f>
        <v>0</v>
      </c>
    </row>
    <row r="25" spans="2:5" s="38" customFormat="1" ht="21" customHeight="1" x14ac:dyDescent="0.2">
      <c r="B25" s="138" t="str">
        <f>IF(ISBLANK(BIPs_NEU[[#This Row],[Anzahl Personen]]),"","Hier muss ein Name für das BIP angegeben werden!")</f>
        <v/>
      </c>
      <c r="C25" s="166" t="str">
        <f>IF(BIPs_NEU[[#This Row],[Anzahl Personen]]="","",BIPs_NEU[[#This Row],[Anzahl Personen]])</f>
        <v/>
      </c>
      <c r="D25" s="138"/>
      <c r="E25" s="139">
        <f>IF(AND(BIPs_NEU[[#This Row],[Anzahl Personen]]&gt;=15,BIPs_NEU[[#This Row],[Anzahl Personen]]&lt;=20),BIPs_NEU[[#This Row],[Anzahl Personen]]*400,IF(BIPs_NEU[[#This Row],[Anzahl Personen]]&gt;20,8000,0))</f>
        <v>0</v>
      </c>
    </row>
    <row r="26" spans="2:5" s="38" customFormat="1" ht="21" customHeight="1" x14ac:dyDescent="0.2">
      <c r="B26" s="138" t="str">
        <f>IF(ISBLANK(BIPs_NEU[[#This Row],[Anzahl Personen]]),"","Hier muss ein Name für das BIP angegeben werden!")</f>
        <v/>
      </c>
      <c r="C26" s="166" t="str">
        <f>IF(BIPs_NEU[[#This Row],[Anzahl Personen]]="","",BIPs_NEU[[#This Row],[Anzahl Personen]])</f>
        <v/>
      </c>
      <c r="D26" s="138"/>
      <c r="E26" s="139">
        <f>IF(AND(BIPs_NEU[[#This Row],[Anzahl Personen]]&gt;=15,BIPs_NEU[[#This Row],[Anzahl Personen]]&lt;=20),BIPs_NEU[[#This Row],[Anzahl Personen]]*400,IF(BIPs_NEU[[#This Row],[Anzahl Personen]]&gt;20,8000,0))</f>
        <v>0</v>
      </c>
    </row>
    <row r="27" spans="2:5" x14ac:dyDescent="0.2">
      <c r="B27" s="1" t="str">
        <f>"Anzahl zusätzlich beantragter BIPs: "&amp;SUBTOTAL(102,BIPs_NEU[Anzahl Personen])</f>
        <v>Anzahl zusätzlich beantragter BIPs: 0</v>
      </c>
      <c r="C27" s="1">
        <f>SUBTOTAL(102,BIPs_NEU[Spalte1])</f>
        <v>0</v>
      </c>
      <c r="D27" s="1">
        <f>SUBTOTAL(109,BIPs_NEU[Anzahl Personen])</f>
        <v>0</v>
      </c>
      <c r="E27" s="75">
        <f>SUBTOTAL(109,BIPs_NEU[Beantragter Betrag])</f>
        <v>0</v>
      </c>
    </row>
    <row r="29" spans="2:5" x14ac:dyDescent="0.2">
      <c r="D29" s="312">
        <f>SUBTOTAL(102,BIPs_NEU[Anzahl Personen])</f>
        <v>0</v>
      </c>
    </row>
    <row r="47" spans="1:1" x14ac:dyDescent="0.2">
      <c r="A47" s="303" t="str">
        <f>Steuerung!U4</f>
        <v>Ben_InRe1-KA131_Call2023_v2023-09-14_frei_mgr</v>
      </c>
    </row>
  </sheetData>
  <sheetProtection insertRows="0"/>
  <mergeCells count="2">
    <mergeCell ref="B1:E1"/>
    <mergeCell ref="D3:E3"/>
  </mergeCells>
  <dataValidations count="3">
    <dataValidation type="whole" allowBlank="1" showInputMessage="1" showErrorMessage="1" error="Mindestens 15 Mobilitäten sind für ein BIP  notwendig!" sqref="D7:D26" xr:uid="{AAB69739-7F25-4EA5-9ADA-2CD8C6FAAB08}">
      <formula1>15</formula1>
      <formula2>1000</formula2>
    </dataValidation>
    <dataValidation type="textLength" allowBlank="1" showInputMessage="1" showErrorMessage="1" error="min. 3, max. 255 Zeichen" sqref="B7:B26" xr:uid="{C3882634-3F36-457E-8464-7D9BD36571E9}">
      <formula1>3</formula1>
      <formula2>255</formula2>
    </dataValidation>
    <dataValidation allowBlank="1" showInputMessage="1" showErrorMessage="1" error="min. 3, max. 255 Zeichen" sqref="C7:C26" xr:uid="{260F2404-F883-4A65-B5B0-DB85636A6A11}"/>
  </dataValidations>
  <pageMargins left="0.70866141732283472" right="0.70866141732283472" top="0.78740157480314965" bottom="0.44" header="0.31496062992125984" footer="0.52"/>
  <pageSetup paperSize="9" orientation="portrait" r:id="rId1"/>
  <headerFooter>
    <oddFooter>&amp;R&amp;"Calibri,Standard"&amp;8gedruckt am  &amp;D</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B96"/>
  <sheetViews>
    <sheetView zoomScaleNormal="100" zoomScaleSheetLayoutView="100" workbookViewId="0">
      <selection activeCell="B75" sqref="B75:D75"/>
    </sheetView>
  </sheetViews>
  <sheetFormatPr baseColWidth="10" defaultColWidth="12" defaultRowHeight="12.75" x14ac:dyDescent="0.2"/>
  <cols>
    <col min="1" max="1" width="3.7109375" style="1" customWidth="1"/>
    <col min="2" max="2" width="7.140625" style="1" customWidth="1"/>
    <col min="3" max="3" width="14.42578125" style="1" customWidth="1"/>
    <col min="4" max="4" width="5.85546875" style="1" customWidth="1"/>
    <col min="5" max="5" width="12.42578125" style="1" customWidth="1"/>
    <col min="6" max="6" width="3.28515625" style="1" customWidth="1"/>
    <col min="7" max="7" width="12" style="1" customWidth="1"/>
    <col min="8" max="8" width="5.85546875" style="1" customWidth="1"/>
    <col min="9" max="13" width="11.28515625" style="1" customWidth="1"/>
    <col min="14" max="16" width="0.5703125" style="1" customWidth="1"/>
    <col min="17" max="17" width="8.28515625" style="1" customWidth="1"/>
    <col min="18" max="18" width="10.140625" style="1" customWidth="1"/>
    <col min="19" max="19" width="5.42578125" style="1" customWidth="1"/>
    <col min="20" max="24" width="0" style="1" hidden="1" customWidth="1"/>
    <col min="25" max="16384" width="12" style="1"/>
  </cols>
  <sheetData>
    <row r="1" spans="1:23" ht="6.75" customHeight="1" x14ac:dyDescent="0.2">
      <c r="B1" s="131"/>
      <c r="C1" s="131"/>
      <c r="D1" s="131"/>
      <c r="E1" s="678"/>
      <c r="F1" s="679"/>
      <c r="G1" s="130"/>
      <c r="H1" s="130"/>
    </row>
    <row r="2" spans="1:23" ht="66.75" customHeight="1" x14ac:dyDescent="0.2">
      <c r="M2" s="1" t="str">
        <f>Erklärung!J6</f>
        <v>1.1.0.e</v>
      </c>
      <c r="P2" s="62"/>
      <c r="Q2" s="62"/>
    </row>
    <row r="3" spans="1:23" ht="66.75" customHeight="1" x14ac:dyDescent="0.2">
      <c r="A3" s="69"/>
      <c r="B3" s="680" t="str">
        <f>Steuerung!U5&amp;"
"&amp;Steuerung!U7&amp;" "&amp; Steuerung!U8&amp;"
"&amp;Steuerung!U6</f>
        <v>1.  Z W I S C H E N B E R I C H T
ERASMUS+ MOBILITÄTSPROJEKTE FÜR STUDIERENDE UND HOCHSCHULPERSONAL (KA131)
Call 2023</v>
      </c>
      <c r="C3" s="681"/>
      <c r="D3" s="681"/>
      <c r="E3" s="682"/>
      <c r="F3" s="682"/>
      <c r="G3" s="682"/>
      <c r="H3" s="682"/>
      <c r="I3" s="682"/>
      <c r="J3" s="682"/>
      <c r="K3" s="682"/>
      <c r="L3" s="682"/>
      <c r="M3" s="682"/>
      <c r="N3" s="682"/>
      <c r="O3" s="682"/>
      <c r="P3" s="683"/>
      <c r="Q3" s="179"/>
      <c r="R3" s="179"/>
    </row>
    <row r="4" spans="1:23" ht="9.75" customHeight="1" x14ac:dyDescent="0.2">
      <c r="A4" s="180"/>
    </row>
    <row r="5" spans="1:23" ht="15.75" customHeight="1" x14ac:dyDescent="0.2">
      <c r="A5" s="69"/>
      <c r="C5" s="722" t="s">
        <v>0</v>
      </c>
      <c r="D5" s="723"/>
      <c r="E5" s="723"/>
      <c r="F5" s="439"/>
      <c r="G5" s="724" t="str">
        <f>'Dateneingabe Mobilitäten'!C1</f>
        <v>&lt;-- Bitte Erasmus Code auswählen --&gt;</v>
      </c>
      <c r="H5" s="725"/>
      <c r="I5" s="725"/>
      <c r="J5" s="725"/>
      <c r="K5" s="725"/>
      <c r="L5" s="725"/>
      <c r="M5" s="725"/>
      <c r="N5" s="725"/>
      <c r="O5" s="725"/>
      <c r="P5" s="726"/>
      <c r="Q5" s="97"/>
      <c r="R5" s="73"/>
    </row>
    <row r="6" spans="1:23" ht="15.75" customHeight="1" x14ac:dyDescent="0.2">
      <c r="A6" s="69"/>
      <c r="C6" s="722" t="s">
        <v>212</v>
      </c>
      <c r="D6" s="723"/>
      <c r="E6" s="723"/>
      <c r="F6" s="439"/>
      <c r="G6" s="724">
        <f>VLOOKUP(G5,Daten[],3,0)</f>
        <v>0</v>
      </c>
      <c r="H6" s="725"/>
      <c r="I6" s="725"/>
      <c r="J6" s="725"/>
      <c r="K6" s="725"/>
      <c r="L6" s="725"/>
      <c r="M6" s="725"/>
      <c r="N6" s="725"/>
      <c r="O6" s="725"/>
      <c r="P6" s="726"/>
      <c r="Q6" s="97"/>
      <c r="R6" s="97"/>
    </row>
    <row r="7" spans="1:23" ht="39" customHeight="1" x14ac:dyDescent="0.2">
      <c r="A7" s="69"/>
      <c r="C7" s="722" t="s">
        <v>1</v>
      </c>
      <c r="D7" s="723"/>
      <c r="E7" s="723"/>
      <c r="F7" s="439"/>
      <c r="G7" s="727">
        <f>VLOOKUP(G5,Daten[],2,0)</f>
        <v>0</v>
      </c>
      <c r="H7" s="728"/>
      <c r="I7" s="728"/>
      <c r="J7" s="728"/>
      <c r="K7" s="728"/>
      <c r="L7" s="728"/>
      <c r="M7" s="728"/>
      <c r="N7" s="728"/>
      <c r="O7" s="728"/>
      <c r="P7" s="729"/>
      <c r="Q7" s="181"/>
      <c r="R7" s="181"/>
    </row>
    <row r="8" spans="1:23" ht="15.75" customHeight="1" x14ac:dyDescent="0.2">
      <c r="A8" s="69"/>
      <c r="C8" s="722" t="s">
        <v>5</v>
      </c>
      <c r="D8" s="723"/>
      <c r="E8" s="723"/>
      <c r="F8" s="439"/>
      <c r="G8" s="724">
        <f>VLOOKUP(G5,Daten[],5,0)</f>
        <v>0</v>
      </c>
      <c r="H8" s="725"/>
      <c r="I8" s="725"/>
      <c r="J8" s="725"/>
      <c r="K8" s="725"/>
      <c r="L8" s="725"/>
      <c r="M8" s="725"/>
      <c r="N8" s="725"/>
      <c r="O8" s="725"/>
      <c r="P8" s="726"/>
      <c r="Q8" s="97"/>
      <c r="R8" s="97"/>
    </row>
    <row r="9" spans="1:23" ht="15.75" customHeight="1" x14ac:dyDescent="0.2">
      <c r="A9" s="69"/>
      <c r="C9" s="722" t="s">
        <v>281</v>
      </c>
      <c r="D9" s="723"/>
      <c r="E9" s="723"/>
      <c r="F9" s="442"/>
      <c r="G9" s="730">
        <f>VLOOKUP(G5,Daten[],4,0)</f>
        <v>0</v>
      </c>
      <c r="H9" s="731"/>
      <c r="I9" s="731"/>
      <c r="J9" s="731"/>
      <c r="K9" s="731"/>
      <c r="L9" s="731"/>
      <c r="M9" s="731"/>
      <c r="N9" s="731"/>
      <c r="O9" s="731"/>
      <c r="P9" s="732"/>
      <c r="Q9" s="97"/>
      <c r="R9" s="97"/>
    </row>
    <row r="10" spans="1:23" ht="6" customHeight="1" x14ac:dyDescent="0.2">
      <c r="A10" s="69"/>
      <c r="B10" s="13"/>
      <c r="C10" s="13"/>
      <c r="D10" s="13"/>
      <c r="E10" s="13"/>
      <c r="F10" s="13"/>
      <c r="G10" s="13"/>
      <c r="H10" s="97"/>
      <c r="I10" s="97"/>
      <c r="J10" s="97"/>
      <c r="K10" s="97"/>
      <c r="L10" s="97"/>
      <c r="M10" s="97"/>
      <c r="N10" s="97"/>
      <c r="O10" s="97"/>
      <c r="P10" s="97"/>
      <c r="Q10" s="97"/>
      <c r="R10" s="97"/>
    </row>
    <row r="11" spans="1:23" ht="15.75" x14ac:dyDescent="0.25">
      <c r="A11" s="180"/>
      <c r="B11" s="182" t="s">
        <v>274</v>
      </c>
      <c r="C11" s="182"/>
      <c r="D11" s="182"/>
      <c r="E11" s="183"/>
      <c r="F11" s="183"/>
      <c r="G11" s="68"/>
      <c r="H11" s="184"/>
      <c r="I11" s="184"/>
      <c r="J11" s="184"/>
      <c r="K11" s="184"/>
      <c r="L11" s="184"/>
      <c r="M11" s="184"/>
      <c r="N11" s="184"/>
      <c r="O11" s="184"/>
      <c r="P11" s="68"/>
    </row>
    <row r="12" spans="1:23" ht="6.75" customHeight="1" thickBot="1" x14ac:dyDescent="0.3">
      <c r="A12" s="180"/>
      <c r="B12" s="185"/>
      <c r="C12" s="185"/>
      <c r="D12" s="185"/>
      <c r="E12" s="186"/>
      <c r="F12" s="186"/>
      <c r="H12" s="187"/>
      <c r="I12" s="187"/>
      <c r="J12" s="187"/>
      <c r="K12" s="187"/>
      <c r="L12" s="187"/>
      <c r="M12" s="187"/>
      <c r="N12" s="187"/>
      <c r="O12" s="187"/>
    </row>
    <row r="13" spans="1:23" ht="15" customHeight="1" x14ac:dyDescent="0.2">
      <c r="A13" s="180"/>
      <c r="C13" s="696" t="s">
        <v>276</v>
      </c>
      <c r="D13" s="697"/>
      <c r="E13" s="698"/>
      <c r="F13" s="435"/>
      <c r="G13" s="697" t="s">
        <v>275</v>
      </c>
      <c r="H13" s="697"/>
      <c r="I13" s="697"/>
      <c r="J13" s="697"/>
      <c r="K13" s="697"/>
      <c r="L13" s="697"/>
      <c r="M13" s="697"/>
      <c r="N13" s="436"/>
      <c r="O13" s="437"/>
      <c r="P13" s="43"/>
      <c r="R13" s="66" t="str">
        <f>IF(OR('Dateneingabe Mobilitäten'!AN4&lt;&gt;"",'Dateneingabe Mobilitäten'!AN9&lt;&gt;"",'Dateneingabe Mobilitäten'!AN19&lt;&gt;"",'Dateneingabe Mobilitäten'!AN24&lt;&gt;""),"Finanzierte/zero grant Tage müssen angegeben werden.","")</f>
        <v/>
      </c>
      <c r="T13" s="1" t="s">
        <v>381</v>
      </c>
    </row>
    <row r="14" spans="1:23" ht="15" customHeight="1" x14ac:dyDescent="0.2">
      <c r="A14" s="69"/>
      <c r="C14" s="188"/>
      <c r="D14" s="69" t="s">
        <v>252</v>
      </c>
      <c r="E14" s="394" t="s">
        <v>112</v>
      </c>
      <c r="G14" s="715" t="s">
        <v>252</v>
      </c>
      <c r="H14" s="716"/>
      <c r="I14" s="20" t="s">
        <v>303</v>
      </c>
      <c r="J14" s="20" t="s">
        <v>786</v>
      </c>
      <c r="K14" s="349" t="s">
        <v>789</v>
      </c>
      <c r="L14" s="468" t="s">
        <v>788</v>
      </c>
      <c r="M14" s="20" t="s">
        <v>112</v>
      </c>
      <c r="N14" s="178"/>
      <c r="O14" s="178"/>
      <c r="P14" s="414"/>
      <c r="Q14" s="178"/>
      <c r="R14" s="1" t="str">
        <f>'Dateneingabe Mobilitäten'!AH98</f>
        <v/>
      </c>
      <c r="U14" s="20" t="s">
        <v>303</v>
      </c>
    </row>
    <row r="15" spans="1:23" s="38" customFormat="1" ht="15.75" customHeight="1" x14ac:dyDescent="0.2">
      <c r="A15" s="69"/>
      <c r="C15" s="403" t="s">
        <v>251</v>
      </c>
      <c r="D15" s="397">
        <f>'Dateneingabe Mobilitäten'!F4</f>
        <v>0</v>
      </c>
      <c r="E15" s="415">
        <f>'Dateneingabe Mobilitäten'!F7</f>
        <v>0</v>
      </c>
      <c r="F15" s="446"/>
      <c r="G15" s="397">
        <f>'Dateneingabe Mobilitäten'!I4</f>
        <v>0</v>
      </c>
      <c r="H15" s="443" t="str">
        <f>IF((G15-D15)&gt;0,"(+"&amp;G15-D15&amp;")",IF((G15-D15)&lt;0,"(-"&amp;(G15-D15)*-1&amp;")","(0)"))</f>
        <v>(0)</v>
      </c>
      <c r="I15" s="399">
        <f>SUM('Dateneingabe Mobilitäten'!N7:AA7)</f>
        <v>0</v>
      </c>
      <c r="J15" s="400">
        <f>'Dateneingabe Mobilitäten'!AE4*-1</f>
        <v>0</v>
      </c>
      <c r="K15" s="400">
        <f>'Dateneingabe Mobilitäten'!AD4</f>
        <v>0</v>
      </c>
      <c r="L15" s="387">
        <f>I15+J15+K15</f>
        <v>0</v>
      </c>
      <c r="M15" s="233">
        <f>'Dateneingabe Mobilitäten'!I7</f>
        <v>0</v>
      </c>
      <c r="N15" s="398"/>
      <c r="O15" s="398"/>
      <c r="P15" s="404"/>
      <c r="R15" s="38" t="str">
        <f>'Dateneingabe Mobilitäten'!AH4</f>
        <v/>
      </c>
      <c r="T15" s="41">
        <f t="shared" ref="T15:T21" si="0">E15-M15</f>
        <v>0</v>
      </c>
      <c r="U15" s="15" t="e">
        <f>'Dateneingabe Mobilitäten'!P7+'Dateneingabe Mobilitäten'!Q7+'Dateneingabe Mobilitäten'!R7+'Dateneingabe Mobilitäten'!S7+'Dateneingabe Mobilitäten'!T7+'Dateneingabe Mobilitäten'!U7+'Dateneingabe Mobilitäten'!X7+'Dateneingabe Mobilitäten'!#REF!+'Dateneingabe Mobilitäten'!Z7</f>
        <v>#REF!</v>
      </c>
      <c r="W15" s="38" t="str">
        <f t="shared" ref="W15:W21" si="1">IF((G15-D15)&gt;0,"(+"&amp;G15-D15&amp;")",IF((G15-D15)&lt;0,"(-"&amp;(G15-D15)*-1&amp;")","(0)"))</f>
        <v>(0)</v>
      </c>
    </row>
    <row r="16" spans="1:23" s="38" customFormat="1" ht="15.75" customHeight="1" x14ac:dyDescent="0.2">
      <c r="A16" s="69"/>
      <c r="C16" s="188" t="s">
        <v>253</v>
      </c>
      <c r="D16" s="389">
        <f>'Dateneingabe Mobilitäten'!F9</f>
        <v>0</v>
      </c>
      <c r="E16" s="388">
        <f>'Dateneingabe Mobilitäten'!F12</f>
        <v>0</v>
      </c>
      <c r="F16" s="413"/>
      <c r="G16" s="389">
        <f>'Dateneingabe Mobilitäten'!I9</f>
        <v>0</v>
      </c>
      <c r="H16" s="444" t="str">
        <f>IF((G16-D16)&gt;0,"(+"&amp;G16-D16&amp;")",IF((G16-D16)&lt;0,"(-"&amp;(G16-D16)*-1&amp;")","(0)"))</f>
        <v>(0)</v>
      </c>
      <c r="I16" s="390">
        <f>SUM('Dateneingabe Mobilitäten'!N12:AA12)</f>
        <v>0</v>
      </c>
      <c r="J16" s="390">
        <f>'Dateneingabe Mobilitäten'!AE9*-1</f>
        <v>0</v>
      </c>
      <c r="K16" s="390">
        <f>'Dateneingabe Mobilitäten'!AD9</f>
        <v>0</v>
      </c>
      <c r="L16" s="425">
        <f t="shared" ref="L16:L21" si="2">I16+J16+K16</f>
        <v>0</v>
      </c>
      <c r="M16" s="15">
        <f>'Dateneingabe Mobilitäten'!I12</f>
        <v>0</v>
      </c>
      <c r="P16" s="393"/>
      <c r="R16" s="38" t="str">
        <f>'Dateneingabe Mobilitäten'!AH9</f>
        <v/>
      </c>
      <c r="T16" s="41">
        <f t="shared" si="0"/>
        <v>0</v>
      </c>
      <c r="U16" s="15" t="e">
        <f>'Dateneingabe Mobilitäten'!N12+'Dateneingabe Mobilitäten'!O12+'Dateneingabe Mobilitäten'!R12+'Dateneingabe Mobilitäten'!S12+'Dateneingabe Mobilitäten'!T12+'Dateneingabe Mobilitäten'!U12+'Dateneingabe Mobilitäten'!X12+'Dateneingabe Mobilitäten'!#REF!+'Dateneingabe Mobilitäten'!Z12</f>
        <v>#REF!</v>
      </c>
      <c r="W16" s="38" t="str">
        <f t="shared" si="1"/>
        <v>(0)</v>
      </c>
    </row>
    <row r="17" spans="1:23" s="38" customFormat="1" ht="15.75" customHeight="1" x14ac:dyDescent="0.2">
      <c r="A17" s="69"/>
      <c r="C17" s="188" t="s">
        <v>2</v>
      </c>
      <c r="D17" s="389">
        <f>'Dateneingabe Mobilitäten'!F19</f>
        <v>0</v>
      </c>
      <c r="E17" s="388">
        <f>'Dateneingabe Mobilitäten'!F22</f>
        <v>0</v>
      </c>
      <c r="F17" s="413"/>
      <c r="G17" s="389">
        <f>'Dateneingabe Mobilitäten'!I19</f>
        <v>0</v>
      </c>
      <c r="H17" s="444" t="str">
        <f>IF((G17-D17)&gt;0,"(+"&amp;G17-D17&amp;")",IF((G17-D17)&lt;0,"(-"&amp;(G17-D17)*-1&amp;")","(0)"))</f>
        <v>(0)</v>
      </c>
      <c r="I17" s="390">
        <f>SUM('Dateneingabe Mobilitäten'!N22:AA22)</f>
        <v>0</v>
      </c>
      <c r="J17" s="390">
        <f>'Dateneingabe Mobilitäten'!AE19*-1</f>
        <v>0</v>
      </c>
      <c r="K17" s="390">
        <f>'Dateneingabe Mobilitäten'!AD19</f>
        <v>0</v>
      </c>
      <c r="L17" s="425">
        <f t="shared" si="2"/>
        <v>0</v>
      </c>
      <c r="M17" s="15">
        <f>'Dateneingabe Mobilitäten'!I22</f>
        <v>0</v>
      </c>
      <c r="P17" s="393"/>
      <c r="R17" s="38" t="str">
        <f>'Dateneingabe Mobilitäten'!AH19</f>
        <v/>
      </c>
      <c r="T17" s="41">
        <f t="shared" si="0"/>
        <v>0</v>
      </c>
      <c r="U17" s="15" t="e">
        <f>'Dateneingabe Mobilitäten'!N22+'Dateneingabe Mobilitäten'!O22+'Dateneingabe Mobilitäten'!P22+'Dateneingabe Mobilitäten'!Q22+'Dateneingabe Mobilitäten'!T22+'Dateneingabe Mobilitäten'!U22+'Dateneingabe Mobilitäten'!X22+'Dateneingabe Mobilitäten'!#REF!+'Dateneingabe Mobilitäten'!Z22</f>
        <v>#REF!</v>
      </c>
      <c r="W17" s="38" t="str">
        <f t="shared" si="1"/>
        <v>(0)</v>
      </c>
    </row>
    <row r="18" spans="1:23" s="38" customFormat="1" ht="15.75" customHeight="1" x14ac:dyDescent="0.2">
      <c r="A18" s="69"/>
      <c r="C18" s="405" t="s">
        <v>3</v>
      </c>
      <c r="D18" s="385">
        <f>'Dateneingabe Mobilitäten'!F24</f>
        <v>0</v>
      </c>
      <c r="E18" s="416">
        <f>'Dateneingabe Mobilitäten'!F27</f>
        <v>0</v>
      </c>
      <c r="F18" s="447"/>
      <c r="G18" s="385">
        <f>'Dateneingabe Mobilitäten'!I24</f>
        <v>0</v>
      </c>
      <c r="H18" s="445" t="str">
        <f>IF((G18-D18)&gt;0,"(+"&amp;G18-D18&amp;")",IF((G18-D18)&lt;0,"(-"&amp;(G18-D18)*-1&amp;")","(0)"))</f>
        <v>(0)</v>
      </c>
      <c r="I18" s="402">
        <f>SUM('Dateneingabe Mobilitäten'!N27:AA27)</f>
        <v>0</v>
      </c>
      <c r="J18" s="402">
        <f>'Dateneingabe Mobilitäten'!AE24*-1</f>
        <v>0</v>
      </c>
      <c r="K18" s="402">
        <f>'Dateneingabe Mobilitäten'!AD24</f>
        <v>0</v>
      </c>
      <c r="L18" s="426">
        <f t="shared" si="2"/>
        <v>0</v>
      </c>
      <c r="M18" s="386">
        <f>'Dateneingabe Mobilitäten'!I27</f>
        <v>0</v>
      </c>
      <c r="N18" s="401"/>
      <c r="O18" s="401"/>
      <c r="P18" s="406"/>
      <c r="R18" s="38" t="str">
        <f>'Dateneingabe Mobilitäten'!AH24</f>
        <v/>
      </c>
      <c r="T18" s="41">
        <f t="shared" si="0"/>
        <v>0</v>
      </c>
      <c r="U18" s="15" t="e">
        <f>'Dateneingabe Mobilitäten'!N27+'Dateneingabe Mobilitäten'!O27+'Dateneingabe Mobilitäten'!P27+'Dateneingabe Mobilitäten'!Q27+'Dateneingabe Mobilitäten'!R27+'Dateneingabe Mobilitäten'!S27+'Dateneingabe Mobilitäten'!X27+'Dateneingabe Mobilitäten'!#REF!+'Dateneingabe Mobilitäten'!Z27</f>
        <v>#REF!</v>
      </c>
      <c r="W18" s="38" t="str">
        <f t="shared" si="1"/>
        <v>(0)</v>
      </c>
    </row>
    <row r="19" spans="1:23" s="38" customFormat="1" ht="15.75" customHeight="1" x14ac:dyDescent="0.2">
      <c r="A19" s="69"/>
      <c r="C19" s="567" t="s">
        <v>951</v>
      </c>
      <c r="D19" s="568">
        <f>SUM(D15:D18)</f>
        <v>0</v>
      </c>
      <c r="E19" s="569">
        <f>SUM(E15:E18)</f>
        <v>0</v>
      </c>
      <c r="F19" s="568"/>
      <c r="G19" s="568">
        <f>SUM(G15:G18)</f>
        <v>0</v>
      </c>
      <c r="H19" s="570" t="str">
        <f>IF((G19-D19)&gt;0,"(+"&amp;G19-D19&amp;")",IF((G19-D19)&lt;0,"(-"&amp;(G19-D19)*-1&amp;")","(0)"))</f>
        <v>(0)</v>
      </c>
      <c r="I19" s="571">
        <f>SUM(I15:I18)</f>
        <v>0</v>
      </c>
      <c r="J19" s="571">
        <f>SUM(J15:J18)</f>
        <v>0</v>
      </c>
      <c r="K19" s="572">
        <f>SUM(K15:K18)</f>
        <v>0</v>
      </c>
      <c r="L19" s="573">
        <f>SUM(L15:L18)</f>
        <v>0</v>
      </c>
      <c r="M19" s="574">
        <f>SUM(M15:M18)</f>
        <v>0</v>
      </c>
      <c r="N19" s="568"/>
      <c r="O19" s="568"/>
      <c r="P19" s="393"/>
      <c r="T19" s="41"/>
      <c r="U19" s="15"/>
    </row>
    <row r="20" spans="1:23" s="38" customFormat="1" ht="7.5" customHeight="1" x14ac:dyDescent="0.2">
      <c r="A20" s="69"/>
      <c r="C20" s="188"/>
      <c r="D20" s="389"/>
      <c r="E20" s="395"/>
      <c r="G20" s="37"/>
      <c r="H20" s="37"/>
      <c r="I20" s="390"/>
      <c r="J20" s="390"/>
      <c r="K20" s="390"/>
      <c r="M20" s="37"/>
      <c r="P20" s="393"/>
      <c r="T20" s="41">
        <f t="shared" si="0"/>
        <v>0</v>
      </c>
      <c r="U20" s="37"/>
      <c r="W20" s="38" t="str">
        <f t="shared" si="1"/>
        <v>(0)</v>
      </c>
    </row>
    <row r="21" spans="1:23" s="38" customFormat="1" ht="15.75" customHeight="1" x14ac:dyDescent="0.2">
      <c r="A21" s="69"/>
      <c r="C21" s="190" t="s">
        <v>467</v>
      </c>
      <c r="D21" s="140">
        <f>'Dateneingabe Mobilitäten'!F34</f>
        <v>0</v>
      </c>
      <c r="E21" s="417">
        <f>'Dateneingabe Mobilitäten'!F35</f>
        <v>0</v>
      </c>
      <c r="F21" s="407"/>
      <c r="G21" s="408">
        <f>'Dateneingabe Mobilitäten'!I34+'Dateneingabe Mobilitäten'!I37</f>
        <v>0</v>
      </c>
      <c r="H21" s="349" t="str">
        <f>IF((G21-D21)&gt;0,"(+"&amp;G21-D21&amp;")",IF((G21-D21)&lt;0,"(-"&amp;(G21-D21)*-1&amp;")","(0)"))</f>
        <v>(0)</v>
      </c>
      <c r="I21" s="409">
        <f>SUM('Dateneingabe Mobilitäten'!N38:Z38)</f>
        <v>0</v>
      </c>
      <c r="J21" s="409">
        <f>'Dateneingabe Mobilitäten'!AE34*-1-'Dateneingabe Mobilitäten'!AE37</f>
        <v>0</v>
      </c>
      <c r="K21" s="555"/>
      <c r="L21" s="427">
        <f t="shared" si="2"/>
        <v>0</v>
      </c>
      <c r="M21" s="141">
        <f>'Dateneingabe Mobilitäten'!I35+'Dateneingabe Mobilitäten'!I38</f>
        <v>0</v>
      </c>
      <c r="N21" s="407"/>
      <c r="O21" s="407"/>
      <c r="P21" s="411"/>
      <c r="R21" s="38" t="str">
        <f>'Dateneingabe Mobilitäten'!AH37</f>
        <v/>
      </c>
      <c r="T21" s="41">
        <f t="shared" si="0"/>
        <v>0</v>
      </c>
      <c r="U21" s="15"/>
      <c r="W21" s="38" t="str">
        <f t="shared" si="1"/>
        <v>(0)</v>
      </c>
    </row>
    <row r="22" spans="1:23" s="38" customFormat="1" ht="7.5" customHeight="1" x14ac:dyDescent="0.2">
      <c r="A22" s="69"/>
      <c r="C22" s="188"/>
      <c r="D22" s="389"/>
      <c r="E22" s="395"/>
      <c r="G22" s="37"/>
      <c r="H22" s="37"/>
      <c r="I22" s="391"/>
      <c r="J22" s="391"/>
      <c r="K22" s="391"/>
      <c r="M22" s="37"/>
      <c r="P22" s="393"/>
      <c r="T22" s="41"/>
      <c r="U22" s="37"/>
    </row>
    <row r="23" spans="1:23" s="38" customFormat="1" ht="15.75" customHeight="1" x14ac:dyDescent="0.2">
      <c r="A23" s="69"/>
      <c r="C23" s="403" t="s">
        <v>973</v>
      </c>
      <c r="D23" s="397">
        <f>'Dateneingabe Mobilitäten'!F45</f>
        <v>0</v>
      </c>
      <c r="E23" s="415">
        <f>'Dateneingabe Mobilitäten'!F46</f>
        <v>0</v>
      </c>
      <c r="F23" s="446"/>
      <c r="G23" s="397">
        <f>'Dateneingabe Mobilitäten'!I45</f>
        <v>0</v>
      </c>
      <c r="H23" s="443" t="str">
        <f>IF((G23-D23)&gt;0,"(+"&amp;G23-D23&amp;")",IF((G23-D23)&lt;0,"(-"&amp;(G23-D23)*-1&amp;")","(0)"))</f>
        <v>(0)</v>
      </c>
      <c r="I23" s="410">
        <f>'Dateneingabe Mobilitäten'!N47+'Dateneingabe Mobilitäten'!P47+'Dateneingabe Mobilitäten'!R47+'Dateneingabe Mobilitäten'!T47+'Dateneingabe Mobilitäten'!Z47-SUM('Dateneingabe Mobilitäten'!O51+'Dateneingabe Mobilitäten'!Q51+'Dateneingabe Mobilitäten'!S51+'Dateneingabe Mobilitäten'!U51+'Dateneingabe Mobilitäten'!V51+'Dateneingabe Mobilitäten'!W51+'Dateneingabe Mobilitäten'!AA51)</f>
        <v>0</v>
      </c>
      <c r="J23" s="410">
        <f>'Dateneingabe Mobilitäten'!AE45*-1</f>
        <v>0</v>
      </c>
      <c r="K23" s="410">
        <f>'Dateneingabe Mobilitäten'!AD45</f>
        <v>0</v>
      </c>
      <c r="L23" s="427">
        <f>I23+J23+K23</f>
        <v>0</v>
      </c>
      <c r="M23" s="410">
        <f>'Dateneingabe Mobilitäten'!I51</f>
        <v>0</v>
      </c>
      <c r="N23" s="407"/>
      <c r="O23" s="407"/>
      <c r="P23" s="411"/>
      <c r="R23" s="38" t="str">
        <f>'Dateneingabe Mobilitäten'!AH103</f>
        <v/>
      </c>
      <c r="T23" s="41">
        <f>E23-M23</f>
        <v>0</v>
      </c>
      <c r="U23" s="15">
        <f>'Dateneingabe Mobilitäten'!O52+'Dateneingabe Mobilitäten'!Q52+'Dateneingabe Mobilitäten'!S52+'Dateneingabe Mobilitäten'!U52</f>
        <v>0</v>
      </c>
      <c r="W23" s="38" t="str">
        <f>IF((G23-D23)&gt;0,"(+"&amp;G23-D23&amp;")",IF((G23-D23)&lt;0,"(-"&amp;(G23-D23)*-1&amp;")","(0)"))</f>
        <v>(0)</v>
      </c>
    </row>
    <row r="24" spans="1:23" s="38" customFormat="1" ht="23.25" customHeight="1" x14ac:dyDescent="0.2">
      <c r="A24" s="69"/>
      <c r="C24" s="188"/>
      <c r="D24" s="389"/>
      <c r="E24" s="388"/>
      <c r="F24" s="717" t="str">
        <f>IF('Dateneingabe Mobilitäten'!I45&lt;'Dateneingabe Mobilitäten'!F45,"Da zum Zwischenbericht weniger Mobilitäten berichtet als bewilligt werden, verringert sich das OS-Budget automatisch!","")</f>
        <v/>
      </c>
      <c r="G24" s="718"/>
      <c r="H24" s="718"/>
      <c r="I24" s="718"/>
      <c r="J24" s="718"/>
      <c r="K24" s="718"/>
      <c r="L24" s="718"/>
      <c r="M24" s="718"/>
      <c r="N24" s="718"/>
      <c r="O24" s="718"/>
      <c r="P24" s="562"/>
      <c r="Q24" s="469"/>
      <c r="T24" s="41"/>
      <c r="U24" s="15"/>
    </row>
    <row r="25" spans="1:23" s="38" customFormat="1" ht="7.5" customHeight="1" x14ac:dyDescent="0.2">
      <c r="A25" s="69"/>
      <c r="C25" s="190"/>
      <c r="D25" s="140"/>
      <c r="E25" s="417"/>
      <c r="F25" s="407"/>
      <c r="G25" s="140"/>
      <c r="H25" s="477"/>
      <c r="I25" s="428"/>
      <c r="J25" s="407"/>
      <c r="K25" s="407"/>
      <c r="L25" s="410"/>
      <c r="M25" s="141"/>
      <c r="N25" s="407"/>
      <c r="O25" s="407"/>
      <c r="P25" s="411"/>
      <c r="T25" s="41"/>
      <c r="U25" s="15"/>
    </row>
    <row r="26" spans="1:23" s="38" customFormat="1" ht="15.75" customHeight="1" x14ac:dyDescent="0.2">
      <c r="A26" s="69"/>
      <c r="C26" s="190" t="s">
        <v>547</v>
      </c>
      <c r="D26" s="140">
        <f>'Dateneingabe Mobilitäten'!F54</f>
        <v>0</v>
      </c>
      <c r="E26" s="417">
        <f>'Dateneingabe Mobilitäten'!F55</f>
        <v>0</v>
      </c>
      <c r="F26" s="407"/>
      <c r="G26" s="140">
        <f>'Dateneingabe Mobilitäten'!I54</f>
        <v>0</v>
      </c>
      <c r="H26" s="349" t="str">
        <f>IF((G26-D26)&gt;0,"(+"&amp;G26-D26&amp;")",IF((G26-D26)&lt;0,"(-"&amp;(G26-D26)*-1&amp;")","(0)"))</f>
        <v>(0)</v>
      </c>
      <c r="I26" s="410">
        <f>SUM('Dateneingabe Mobilitäten'!N56:Z56)</f>
        <v>0</v>
      </c>
      <c r="J26" s="409">
        <f>'Dateneingabe Mobilitäten'!AE54*-1</f>
        <v>0</v>
      </c>
      <c r="K26" s="555"/>
      <c r="L26" s="427">
        <f>I26+J26</f>
        <v>0</v>
      </c>
      <c r="M26" s="141">
        <f>'Dateneingabe Mobilitäten'!I57</f>
        <v>0</v>
      </c>
      <c r="N26" s="407"/>
      <c r="O26" s="407"/>
      <c r="P26" s="411"/>
      <c r="R26" s="38" t="str">
        <f>'Dateneingabe Mobilitäten'!AH54</f>
        <v/>
      </c>
      <c r="T26" s="41">
        <f>E26-M26</f>
        <v>0</v>
      </c>
      <c r="U26" s="15">
        <f>'Dateneingabe Mobilitäten'!N56+'Dateneingabe Mobilitäten'!P56+'Dateneingabe Mobilitäten'!R56+'Dateneingabe Mobilitäten'!T56</f>
        <v>0</v>
      </c>
      <c r="W26" s="38" t="str">
        <f>IF((G26-D26)&gt;0,"(+"&amp;G26-D26&amp;")",IF((G26-D26)&lt;0,"(-"&amp;(G26-D26)*-1&amp;")","(0)"))</f>
        <v>(0)</v>
      </c>
    </row>
    <row r="27" spans="1:23" s="38" customFormat="1" ht="10.5" customHeight="1" x14ac:dyDescent="0.2">
      <c r="A27" s="69"/>
      <c r="C27" s="188"/>
      <c r="D27" s="389"/>
      <c r="E27" s="388"/>
      <c r="G27" s="389"/>
      <c r="H27" s="20"/>
      <c r="J27" s="392"/>
      <c r="K27" s="392"/>
      <c r="M27" s="15"/>
      <c r="P27" s="393"/>
      <c r="T27" s="41"/>
      <c r="U27" s="15"/>
    </row>
    <row r="28" spans="1:23" s="38" customFormat="1" ht="12" customHeight="1" x14ac:dyDescent="0.2">
      <c r="A28" s="69"/>
      <c r="C28" s="188"/>
      <c r="D28" s="20" t="s">
        <v>485</v>
      </c>
      <c r="E28" s="350" t="s">
        <v>112</v>
      </c>
      <c r="G28" s="20" t="s">
        <v>485</v>
      </c>
      <c r="H28" s="20"/>
      <c r="J28" s="15"/>
      <c r="K28" s="15"/>
      <c r="M28" s="429" t="s">
        <v>112</v>
      </c>
      <c r="N28" s="401"/>
      <c r="O28" s="401"/>
      <c r="P28" s="406"/>
      <c r="T28" s="41" t="e">
        <f t="shared" ref="T28:T33" si="3">E28-M28</f>
        <v>#VALUE!</v>
      </c>
      <c r="U28" s="15"/>
      <c r="W28" s="38" t="e">
        <f t="shared" ref="W28:W33" si="4">IF((G28-D28)&gt;0,"(+"&amp;G28-D28&amp;")",IF((G28-D28)&lt;0,"(-"&amp;(G28-D28)*-1&amp;")","(0)"))</f>
        <v>#VALUE!</v>
      </c>
    </row>
    <row r="29" spans="1:23" s="38" customFormat="1" ht="15.75" customHeight="1" x14ac:dyDescent="0.2">
      <c r="A29" s="69"/>
      <c r="C29" s="403" t="s">
        <v>541</v>
      </c>
      <c r="D29" s="397">
        <f>'Dateneingabe Mobilitäten'!F63</f>
        <v>0</v>
      </c>
      <c r="E29" s="415">
        <f>'Dateneingabe Mobilitäten'!F65</f>
        <v>0</v>
      </c>
      <c r="F29" s="398"/>
      <c r="G29" s="397">
        <f>'Dateneingabe Mobilitäten'!I63</f>
        <v>0</v>
      </c>
      <c r="H29" s="443" t="str">
        <f t="shared" ref="H29:H35" si="5">IF((G29-D29)&gt;0,"(+"&amp;G29-D29&amp;")",IF((G29-D29)&lt;0,"(-"&amp;(G29-D29)*-1&amp;")","(0)"))</f>
        <v>(0)</v>
      </c>
      <c r="I29" s="556"/>
      <c r="J29" s="557"/>
      <c r="K29" s="557"/>
      <c r="L29" s="563">
        <f>M29-E29</f>
        <v>0</v>
      </c>
      <c r="M29" s="566">
        <f>'Dateneingabe Mobilitäten'!I65</f>
        <v>0</v>
      </c>
      <c r="P29" s="393"/>
      <c r="T29" s="41">
        <f t="shared" si="3"/>
        <v>0</v>
      </c>
      <c r="U29" s="15">
        <f>'Dateneingabe Mobilitäten'!O65+'Dateneingabe Mobilitäten'!Q65+'Dateneingabe Mobilitäten'!S65+'Dateneingabe Mobilitäten'!U65</f>
        <v>0</v>
      </c>
      <c r="W29" s="38" t="str">
        <f t="shared" si="4"/>
        <v>(0)</v>
      </c>
    </row>
    <row r="30" spans="1:23" s="38" customFormat="1" ht="15.75" customHeight="1" x14ac:dyDescent="0.2">
      <c r="A30" s="69"/>
      <c r="C30" s="188" t="s">
        <v>542</v>
      </c>
      <c r="D30" s="389">
        <f>'Dateneingabe Mobilitäten'!F67</f>
        <v>0</v>
      </c>
      <c r="E30" s="388">
        <f>'Dateneingabe Mobilitäten'!F69</f>
        <v>0</v>
      </c>
      <c r="G30" s="389">
        <f>'Dateneingabe Mobilitäten'!I67</f>
        <v>0</v>
      </c>
      <c r="H30" s="444" t="str">
        <f t="shared" si="5"/>
        <v>(0)</v>
      </c>
      <c r="I30" s="558"/>
      <c r="J30" s="559"/>
      <c r="K30" s="559"/>
      <c r="L30" s="564">
        <f t="shared" ref="L30:L34" si="6">M30-E30</f>
        <v>0</v>
      </c>
      <c r="M30" s="566">
        <f>'Dateneingabe Mobilitäten'!I69</f>
        <v>0</v>
      </c>
      <c r="P30" s="393"/>
      <c r="T30" s="41">
        <f t="shared" si="3"/>
        <v>0</v>
      </c>
      <c r="U30" s="15">
        <f>'Dateneingabe Mobilitäten'!O69+'Dateneingabe Mobilitäten'!Q69+'Dateneingabe Mobilitäten'!S69+'Dateneingabe Mobilitäten'!U69</f>
        <v>0</v>
      </c>
      <c r="W30" s="38" t="str">
        <f t="shared" si="4"/>
        <v>(0)</v>
      </c>
    </row>
    <row r="31" spans="1:23" s="38" customFormat="1" ht="15.75" customHeight="1" x14ac:dyDescent="0.2">
      <c r="A31" s="69"/>
      <c r="C31" s="188" t="s">
        <v>543</v>
      </c>
      <c r="D31" s="389">
        <f>'Dateneingabe Mobilitäten'!F71</f>
        <v>0</v>
      </c>
      <c r="E31" s="388">
        <f>'Dateneingabe Mobilitäten'!F73</f>
        <v>0</v>
      </c>
      <c r="G31" s="389">
        <f>'Dateneingabe Mobilitäten'!I71</f>
        <v>0</v>
      </c>
      <c r="H31" s="444" t="str">
        <f t="shared" si="5"/>
        <v>(0)</v>
      </c>
      <c r="I31" s="558"/>
      <c r="J31" s="559"/>
      <c r="K31" s="559"/>
      <c r="L31" s="564">
        <f t="shared" si="6"/>
        <v>0</v>
      </c>
      <c r="M31" s="566">
        <f>'Dateneingabe Mobilitäten'!I73</f>
        <v>0</v>
      </c>
      <c r="P31" s="393"/>
      <c r="T31" s="41">
        <f t="shared" si="3"/>
        <v>0</v>
      </c>
      <c r="U31" s="15">
        <f>'Dateneingabe Mobilitäten'!O73+'Dateneingabe Mobilitäten'!Q73+'Dateneingabe Mobilitäten'!S73+'Dateneingabe Mobilitäten'!U73</f>
        <v>0</v>
      </c>
      <c r="W31" s="38" t="str">
        <f t="shared" si="4"/>
        <v>(0)</v>
      </c>
    </row>
    <row r="32" spans="1:23" s="38" customFormat="1" ht="15.75" customHeight="1" x14ac:dyDescent="0.2">
      <c r="A32" s="69"/>
      <c r="C32" s="188" t="s">
        <v>544</v>
      </c>
      <c r="D32" s="389">
        <f>'Dateneingabe Mobilitäten'!F75</f>
        <v>0</v>
      </c>
      <c r="E32" s="388">
        <f>'Dateneingabe Mobilitäten'!F77</f>
        <v>0</v>
      </c>
      <c r="G32" s="389">
        <f>'Dateneingabe Mobilitäten'!I75</f>
        <v>0</v>
      </c>
      <c r="H32" s="444" t="str">
        <f t="shared" si="5"/>
        <v>(0)</v>
      </c>
      <c r="I32" s="558"/>
      <c r="J32" s="559"/>
      <c r="K32" s="559"/>
      <c r="L32" s="564">
        <f t="shared" si="6"/>
        <v>0</v>
      </c>
      <c r="M32" s="566">
        <f>'Dateneingabe Mobilitäten'!I77</f>
        <v>0</v>
      </c>
      <c r="P32" s="393"/>
      <c r="T32" s="41">
        <f t="shared" si="3"/>
        <v>0</v>
      </c>
      <c r="U32" s="15">
        <f>'Dateneingabe Mobilitäten'!O77+'Dateneingabe Mobilitäten'!Q77+'Dateneingabe Mobilitäten'!S77+'Dateneingabe Mobilitäten'!U77</f>
        <v>0</v>
      </c>
      <c r="W32" s="38" t="str">
        <f t="shared" si="4"/>
        <v>(0)</v>
      </c>
    </row>
    <row r="33" spans="1:28" s="38" customFormat="1" ht="15.75" customHeight="1" x14ac:dyDescent="0.2">
      <c r="A33" s="69"/>
      <c r="C33" s="188" t="s">
        <v>545</v>
      </c>
      <c r="D33" s="389">
        <f>'Dateneingabe Mobilitäten'!F79</f>
        <v>0</v>
      </c>
      <c r="E33" s="388">
        <f>'Dateneingabe Mobilitäten'!F81</f>
        <v>0</v>
      </c>
      <c r="G33" s="389">
        <f>'Dateneingabe Mobilitäten'!I79</f>
        <v>0</v>
      </c>
      <c r="H33" s="444" t="str">
        <f t="shared" si="5"/>
        <v>(0)</v>
      </c>
      <c r="I33" s="558"/>
      <c r="J33" s="559"/>
      <c r="K33" s="559"/>
      <c r="L33" s="564">
        <f t="shared" si="6"/>
        <v>0</v>
      </c>
      <c r="M33" s="566">
        <f>'Dateneingabe Mobilitäten'!I81</f>
        <v>0</v>
      </c>
      <c r="P33" s="393"/>
      <c r="T33" s="41">
        <f t="shared" si="3"/>
        <v>0</v>
      </c>
      <c r="U33" s="15">
        <f>'Dateneingabe Mobilitäten'!O77+'Dateneingabe Mobilitäten'!Q77+'Dateneingabe Mobilitäten'!S77+'Dateneingabe Mobilitäten'!U77</f>
        <v>0</v>
      </c>
      <c r="W33" s="38" t="str">
        <f t="shared" si="4"/>
        <v>(0)</v>
      </c>
    </row>
    <row r="34" spans="1:28" s="38" customFormat="1" ht="15.75" customHeight="1" x14ac:dyDescent="0.2">
      <c r="A34" s="69"/>
      <c r="C34" s="188" t="s">
        <v>546</v>
      </c>
      <c r="D34" s="389">
        <f>'Dateneingabe Mobilitäten'!F83</f>
        <v>0</v>
      </c>
      <c r="E34" s="388">
        <f>'Dateneingabe Mobilitäten'!F85</f>
        <v>0</v>
      </c>
      <c r="G34" s="389">
        <f>'Dateneingabe Mobilitäten'!I83</f>
        <v>0</v>
      </c>
      <c r="H34" s="444" t="str">
        <f t="shared" si="5"/>
        <v>(0)</v>
      </c>
      <c r="I34" s="558"/>
      <c r="J34" s="559"/>
      <c r="K34" s="559"/>
      <c r="L34" s="565">
        <f t="shared" si="6"/>
        <v>0</v>
      </c>
      <c r="M34" s="566">
        <f>'Dateneingabe Mobilitäten'!I85</f>
        <v>0</v>
      </c>
      <c r="P34" s="393"/>
      <c r="T34" s="41"/>
      <c r="U34" s="15"/>
    </row>
    <row r="35" spans="1:28" s="38" customFormat="1" ht="15.75" customHeight="1" x14ac:dyDescent="0.2">
      <c r="A35" s="69"/>
      <c r="C35" s="190" t="s">
        <v>975</v>
      </c>
      <c r="D35" s="140">
        <f>'Dateneingabe Mobilitäten'!F91</f>
        <v>0</v>
      </c>
      <c r="E35" s="417">
        <f>'Dateneingabe Mobilitäten'!F93</f>
        <v>0</v>
      </c>
      <c r="F35" s="407"/>
      <c r="G35" s="140">
        <f>'Dateneingabe Mobilitäten'!I91</f>
        <v>0</v>
      </c>
      <c r="H35" s="349" t="str">
        <f t="shared" si="5"/>
        <v>(0)</v>
      </c>
      <c r="I35" s="412">
        <f>SUM('Dateneingabe Mobilitäten'!N93:Y93)</f>
        <v>0</v>
      </c>
      <c r="J35" s="412">
        <f>'Dateneingabe Mobilitäten'!AE91*-1</f>
        <v>0</v>
      </c>
      <c r="K35" s="412">
        <f>'Dateneingabe Mobilitäten'!AD91</f>
        <v>0</v>
      </c>
      <c r="L35" s="427">
        <f>I35+J35+K35</f>
        <v>0</v>
      </c>
      <c r="M35" s="141">
        <f>'Dateneingabe Mobilitäten'!I93</f>
        <v>0</v>
      </c>
      <c r="N35" s="407"/>
      <c r="O35" s="407"/>
      <c r="P35" s="411"/>
      <c r="R35" s="38" t="str">
        <f>'Dateneingabe Mobilitäten'!AH91</f>
        <v/>
      </c>
      <c r="T35" s="41"/>
      <c r="U35" s="15"/>
    </row>
    <row r="36" spans="1:28" s="38" customFormat="1" ht="7.5" customHeight="1" x14ac:dyDescent="0.2">
      <c r="A36" s="69"/>
      <c r="C36" s="188"/>
      <c r="D36" s="13"/>
      <c r="E36" s="396"/>
      <c r="G36" s="64"/>
      <c r="H36" s="64"/>
      <c r="J36" s="64"/>
      <c r="K36" s="64"/>
      <c r="M36" s="64"/>
      <c r="P36" s="393"/>
      <c r="R36" s="64"/>
      <c r="T36" s="39"/>
      <c r="W36" s="38" t="str">
        <f>IF((H36-D36)&gt;0,"(+"&amp;H36-D36&amp;")",IF((H36-D36)&lt;0,"(-"&amp;(H36-D36)*-1&amp;")","(0)"))</f>
        <v>(0)</v>
      </c>
    </row>
    <row r="37" spans="1:28" s="38" customFormat="1" ht="15.75" customHeight="1" thickBot="1" x14ac:dyDescent="0.25">
      <c r="A37" s="69"/>
      <c r="C37" s="418" t="s">
        <v>113</v>
      </c>
      <c r="D37" s="419"/>
      <c r="E37" s="420">
        <f>E15+E16+E17+E18+E21+E23+E26+E35</f>
        <v>0</v>
      </c>
      <c r="F37" s="421"/>
      <c r="G37" s="422"/>
      <c r="H37" s="422"/>
      <c r="I37" s="553">
        <f>I15+I16+I17+I18+I21+I23+I26+I35</f>
        <v>0</v>
      </c>
      <c r="J37" s="423">
        <f>J15+J16+J17+J18+J21+J23+J26+J35</f>
        <v>0</v>
      </c>
      <c r="K37" s="423">
        <f>K15+K16+K17+K18+K23+K35</f>
        <v>0</v>
      </c>
      <c r="L37" s="430">
        <f t="shared" ref="L37" si="7">M37-E37</f>
        <v>0</v>
      </c>
      <c r="M37" s="423">
        <f>M15+M16+M17+M18+M21+M23+M35</f>
        <v>0</v>
      </c>
      <c r="N37" s="421"/>
      <c r="O37" s="421"/>
      <c r="P37" s="424"/>
      <c r="R37" s="15"/>
      <c r="S37" s="41"/>
      <c r="T37" s="41">
        <f>J37-E37</f>
        <v>0</v>
      </c>
      <c r="W37" s="38" t="str">
        <f>IF((H37-D37)&gt;0,"(+"&amp;H37-D37&amp;")",IF((H37-D37)&lt;0,"(-"&amp;(H37-D37)*-1&amp;")","(0)"))</f>
        <v>(0)</v>
      </c>
    </row>
    <row r="38" spans="1:28" s="38" customFormat="1" ht="6" customHeight="1" x14ac:dyDescent="0.2">
      <c r="A38" s="69"/>
      <c r="B38" s="13"/>
      <c r="C38" s="13"/>
      <c r="D38" s="13"/>
      <c r="E38" s="13"/>
      <c r="F38" s="13"/>
      <c r="G38" s="13"/>
      <c r="H38" s="13"/>
      <c r="I38" s="13"/>
      <c r="J38" s="13"/>
      <c r="K38" s="13"/>
      <c r="L38" s="14"/>
      <c r="M38" s="14"/>
      <c r="N38" s="14"/>
      <c r="O38" s="14"/>
      <c r="P38" s="40"/>
      <c r="Q38" s="40"/>
      <c r="R38" s="40"/>
      <c r="S38" s="41"/>
    </row>
    <row r="39" spans="1:28" ht="15.75" x14ac:dyDescent="0.25">
      <c r="A39" s="180"/>
      <c r="B39" s="182" t="s">
        <v>787</v>
      </c>
      <c r="C39" s="182"/>
      <c r="D39" s="182"/>
      <c r="E39" s="183"/>
      <c r="F39" s="183"/>
      <c r="G39" s="68"/>
      <c r="H39" s="184"/>
      <c r="I39" s="184"/>
      <c r="J39" s="184"/>
      <c r="K39" s="184"/>
      <c r="L39" s="554"/>
      <c r="M39" s="554"/>
      <c r="N39" s="184"/>
      <c r="O39" s="184"/>
      <c r="P39" s="68"/>
    </row>
    <row r="40" spans="1:28" s="38" customFormat="1" ht="6.75" customHeight="1" x14ac:dyDescent="0.2">
      <c r="A40" s="69"/>
      <c r="B40" s="13"/>
      <c r="C40" s="13"/>
      <c r="D40" s="13"/>
      <c r="E40" s="13"/>
      <c r="F40" s="13"/>
      <c r="G40" s="13"/>
      <c r="H40" s="13"/>
      <c r="I40" s="13"/>
      <c r="J40" s="13"/>
      <c r="K40" s="13"/>
      <c r="L40" s="14"/>
      <c r="M40" s="14"/>
      <c r="N40" s="14"/>
      <c r="O40" s="14"/>
      <c r="P40" s="40"/>
      <c r="Q40" s="40"/>
      <c r="R40" s="40"/>
      <c r="S40" s="41"/>
      <c r="AB40" s="238"/>
    </row>
    <row r="41" spans="1:28" s="38" customFormat="1" ht="15.75" customHeight="1" x14ac:dyDescent="0.2">
      <c r="A41" s="69"/>
      <c r="B41" s="13"/>
      <c r="C41" s="191" t="s">
        <v>251</v>
      </c>
      <c r="D41" s="13"/>
      <c r="E41" s="440">
        <f>'Dateneingabe Mobilitäten'!AC4*-1</f>
        <v>0</v>
      </c>
      <c r="F41" s="13"/>
      <c r="G41" s="438" t="str">
        <f>IF(E41&lt;-0.01, "Rückgabe",IF(E41&gt;0.00001,"Antrag auf Zusatzmittel",""))</f>
        <v/>
      </c>
      <c r="H41" s="140"/>
      <c r="I41" s="140"/>
      <c r="J41" s="140"/>
      <c r="K41" s="439"/>
      <c r="M41" s="98"/>
      <c r="N41" s="14"/>
      <c r="O41" s="14"/>
      <c r="P41" s="69"/>
      <c r="Q41" s="69"/>
      <c r="T41" s="38">
        <f>IF(OR(P41="bestätigen",P41=""),E41,0)</f>
        <v>0</v>
      </c>
    </row>
    <row r="42" spans="1:28" s="38" customFormat="1" ht="15.75" customHeight="1" x14ac:dyDescent="0.2">
      <c r="A42" s="69"/>
      <c r="B42" s="13"/>
      <c r="C42" s="191" t="s">
        <v>253</v>
      </c>
      <c r="D42" s="13"/>
      <c r="E42" s="440">
        <f>'Dateneingabe Mobilitäten'!AC9*-1</f>
        <v>0</v>
      </c>
      <c r="F42" s="13"/>
      <c r="G42" s="438" t="str">
        <f>IF(E42&lt;-0.01, "Rückgabe",IF(E42&gt;0.00001,"Antrag auf Zusatzmittel",""))</f>
        <v/>
      </c>
      <c r="H42" s="140"/>
      <c r="I42" s="140"/>
      <c r="J42" s="140"/>
      <c r="K42" s="439"/>
      <c r="M42" s="98"/>
      <c r="N42" s="14"/>
      <c r="O42" s="14"/>
      <c r="P42" s="69"/>
      <c r="Q42" s="69"/>
      <c r="T42" s="38">
        <f>IF(OR(P42="bestätigen",P42=""),E42,0)</f>
        <v>0</v>
      </c>
      <c r="V42" s="39" t="s">
        <v>299</v>
      </c>
    </row>
    <row r="43" spans="1:28" s="38" customFormat="1" ht="15.75" customHeight="1" x14ac:dyDescent="0.2">
      <c r="A43" s="69"/>
      <c r="B43" s="13"/>
      <c r="C43" s="191" t="s">
        <v>2</v>
      </c>
      <c r="D43" s="13"/>
      <c r="E43" s="440">
        <f>'Dateneingabe Mobilitäten'!AC19*-1</f>
        <v>0</v>
      </c>
      <c r="F43" s="13"/>
      <c r="G43" s="438" t="str">
        <f>IF(E43&lt;-0.01, "Rückgabe",IF(E43&gt;0.00001,"Antrag auf Zusatzmittel",""))</f>
        <v/>
      </c>
      <c r="H43" s="140"/>
      <c r="I43" s="140"/>
      <c r="J43" s="140"/>
      <c r="K43" s="439"/>
      <c r="M43" s="98"/>
      <c r="N43" s="14"/>
      <c r="O43" s="14"/>
      <c r="P43" s="69"/>
      <c r="Q43" s="69"/>
      <c r="T43" s="38">
        <f>IF(OR(P43="bestätigen",P43=""),E43,0)</f>
        <v>0</v>
      </c>
      <c r="V43" s="39" t="s">
        <v>300</v>
      </c>
    </row>
    <row r="44" spans="1:28" s="38" customFormat="1" ht="15.75" customHeight="1" x14ac:dyDescent="0.2">
      <c r="A44" s="69"/>
      <c r="B44" s="13"/>
      <c r="C44" s="191" t="s">
        <v>3</v>
      </c>
      <c r="D44" s="13"/>
      <c r="E44" s="440">
        <f>'Dateneingabe Mobilitäten'!AC24*-1</f>
        <v>0</v>
      </c>
      <c r="F44" s="13"/>
      <c r="G44" s="438" t="str">
        <f>IF(E44&lt;-0.01, "Rückgabe",IF(E44&gt;0.00001,"Antrag auf Zusatzmittel",""))</f>
        <v/>
      </c>
      <c r="H44" s="140"/>
      <c r="I44" s="140"/>
      <c r="J44" s="140"/>
      <c r="K44" s="439"/>
      <c r="M44" s="98"/>
      <c r="N44" s="14"/>
      <c r="O44" s="14"/>
      <c r="P44" s="69"/>
      <c r="Q44" s="69"/>
      <c r="T44" s="38">
        <f>IF(OR(P44="bestätigen",P44=""),E44,0)</f>
        <v>0</v>
      </c>
      <c r="V44" s="39" t="s">
        <v>301</v>
      </c>
    </row>
    <row r="45" spans="1:28" s="38" customFormat="1" ht="7.5" customHeight="1" x14ac:dyDescent="0.2">
      <c r="A45" s="69"/>
      <c r="B45" s="13"/>
      <c r="C45" s="13"/>
      <c r="D45" s="13"/>
      <c r="F45" s="13"/>
      <c r="G45" s="20"/>
      <c r="H45" s="20"/>
      <c r="I45" s="20"/>
      <c r="J45" s="20"/>
      <c r="K45" s="14"/>
      <c r="M45" s="98"/>
      <c r="N45" s="14"/>
      <c r="O45" s="14"/>
      <c r="P45" s="167"/>
      <c r="Q45" s="167"/>
    </row>
    <row r="46" spans="1:28" s="38" customFormat="1" ht="15.75" customHeight="1" x14ac:dyDescent="0.2">
      <c r="A46" s="69"/>
      <c r="B46" s="13"/>
      <c r="C46" s="191" t="s">
        <v>467</v>
      </c>
      <c r="D46" s="13"/>
      <c r="E46" s="440">
        <f>'Dateneingabe Mobilitäten'!AC34*-1</f>
        <v>0</v>
      </c>
      <c r="F46" s="13"/>
      <c r="G46" s="438" t="str">
        <f>IF(E46&lt;-0.01,"Rückgabe","")</f>
        <v/>
      </c>
      <c r="H46" s="140"/>
      <c r="I46" s="140"/>
      <c r="J46" s="140"/>
      <c r="K46" s="439"/>
      <c r="M46" s="98"/>
      <c r="N46" s="14"/>
      <c r="O46" s="14"/>
      <c r="P46" s="69"/>
      <c r="Q46" s="69"/>
      <c r="V46" s="39"/>
    </row>
    <row r="47" spans="1:28" s="38" customFormat="1" ht="7.5" customHeight="1" x14ac:dyDescent="0.2">
      <c r="A47" s="69"/>
      <c r="B47" s="13"/>
      <c r="C47" s="13"/>
      <c r="D47" s="13"/>
      <c r="E47" s="65"/>
      <c r="F47" s="13"/>
      <c r="G47" s="20"/>
      <c r="H47" s="20"/>
      <c r="I47" s="20"/>
      <c r="J47" s="20"/>
      <c r="K47" s="14"/>
      <c r="M47" s="98"/>
      <c r="N47" s="14"/>
      <c r="O47" s="14"/>
      <c r="P47" s="167"/>
      <c r="Q47" s="167"/>
    </row>
    <row r="48" spans="1:28" s="38" customFormat="1" ht="15.75" customHeight="1" x14ac:dyDescent="0.2">
      <c r="A48" s="69"/>
      <c r="B48" s="13"/>
      <c r="C48" s="191" t="s">
        <v>973</v>
      </c>
      <c r="D48" s="13"/>
      <c r="E48" s="440">
        <f>'Dateneingabe Mobilitäten'!AC47*-1</f>
        <v>0</v>
      </c>
      <c r="F48" s="13"/>
      <c r="G48" s="438" t="str">
        <f>IF(E48&lt;-0.01, "Rückgabe",IF(E48&gt;0.00001,"Antrag auf Zusatzmittel",""))</f>
        <v/>
      </c>
      <c r="H48" s="140"/>
      <c r="I48" s="140"/>
      <c r="J48" s="140"/>
      <c r="K48" s="439"/>
      <c r="M48" s="98"/>
      <c r="N48" s="14"/>
      <c r="O48" s="14"/>
      <c r="P48" s="69"/>
      <c r="Q48" s="69"/>
      <c r="T48" s="38">
        <f>IF(OR(P48="bestätigen",P48=""),E48,0)</f>
        <v>0</v>
      </c>
      <c r="V48" s="39" t="s">
        <v>302</v>
      </c>
    </row>
    <row r="49" spans="1:22" s="38" customFormat="1" ht="7.5" customHeight="1" x14ac:dyDescent="0.2">
      <c r="A49" s="69"/>
      <c r="B49" s="13"/>
      <c r="C49" s="13"/>
      <c r="D49" s="13"/>
      <c r="E49" s="65"/>
      <c r="F49" s="13"/>
      <c r="G49" s="20"/>
      <c r="H49" s="20"/>
      <c r="I49" s="20"/>
      <c r="J49" s="20"/>
      <c r="K49" s="20"/>
      <c r="M49" s="98"/>
      <c r="N49" s="14"/>
      <c r="O49" s="14"/>
      <c r="P49" s="69"/>
      <c r="Q49" s="69"/>
      <c r="V49" s="39"/>
    </row>
    <row r="50" spans="1:22" s="38" customFormat="1" ht="15.75" customHeight="1" x14ac:dyDescent="0.2">
      <c r="A50" s="69"/>
      <c r="B50" s="13"/>
      <c r="C50" s="191" t="s">
        <v>547</v>
      </c>
      <c r="D50" s="13"/>
      <c r="E50" s="440">
        <f>('Dateneingabe Mobilitäten'!AC56)*-1</f>
        <v>0</v>
      </c>
      <c r="F50" s="13"/>
      <c r="G50" s="438" t="str">
        <f>IF(E50&lt;-0.01, "Rückgabe","")</f>
        <v/>
      </c>
      <c r="H50" s="140"/>
      <c r="I50" s="140"/>
      <c r="J50" s="140"/>
      <c r="K50" s="439"/>
      <c r="M50" s="98"/>
      <c r="N50" s="14"/>
      <c r="O50" s="14"/>
      <c r="P50" s="69"/>
      <c r="Q50" s="69"/>
      <c r="T50" s="38">
        <f>IF(OR(P50="bestätigen",P50=""),E50,0)</f>
        <v>0</v>
      </c>
      <c r="V50" s="39" t="s">
        <v>302</v>
      </c>
    </row>
    <row r="51" spans="1:22" s="38" customFormat="1" ht="7.5" customHeight="1" x14ac:dyDescent="0.2">
      <c r="A51" s="69"/>
      <c r="B51" s="13"/>
      <c r="C51" s="13"/>
      <c r="D51" s="13"/>
      <c r="E51" s="65"/>
      <c r="F51" s="13"/>
      <c r="G51" s="13"/>
      <c r="H51" s="20"/>
      <c r="I51" s="20"/>
      <c r="J51" s="20"/>
      <c r="K51" s="14"/>
      <c r="M51" s="98"/>
      <c r="N51" s="14"/>
      <c r="O51" s="14"/>
      <c r="P51" s="167"/>
      <c r="Q51" s="167"/>
      <c r="V51" s="39"/>
    </row>
    <row r="52" spans="1:22" s="38" customFormat="1" ht="15.75" customHeight="1" x14ac:dyDescent="0.2">
      <c r="A52" s="69"/>
      <c r="B52" s="13"/>
      <c r="C52" s="191" t="s">
        <v>974</v>
      </c>
      <c r="D52" s="13"/>
      <c r="E52" s="440">
        <f>'Dateneingabe Mobilitäten'!AC91*-1</f>
        <v>0</v>
      </c>
      <c r="F52" s="13"/>
      <c r="G52" s="438" t="str">
        <f>IF(E52&lt;-0.01, "Rückgabe",IF(E52&gt;0.00001,"Antrag auf Zusatzmittel",""))</f>
        <v/>
      </c>
      <c r="H52" s="140"/>
      <c r="I52" s="140"/>
      <c r="J52" s="140"/>
      <c r="K52" s="439"/>
      <c r="M52" s="155" t="str">
        <f>IF('Dateneingabe zusätzliche BIPs'!C27=0,"",'Dateneingabe zusätzliche BIPs'!B27&amp;" (€ "&amp;TEXT('Dateneingabe zusätzliche BIPs'!E27,"#.##0,00")&amp;")")</f>
        <v/>
      </c>
      <c r="N52" s="155"/>
      <c r="O52" s="155"/>
      <c r="P52" s="155"/>
      <c r="Q52" s="155"/>
      <c r="T52" s="38">
        <f>IF(OR(P52="bestätigen",P52=""),E52,0)</f>
        <v>0</v>
      </c>
      <c r="V52" s="39"/>
    </row>
    <row r="53" spans="1:22" s="38" customFormat="1" ht="7.5" customHeight="1" x14ac:dyDescent="0.2">
      <c r="A53" s="69"/>
      <c r="B53" s="13"/>
      <c r="C53" s="13"/>
      <c r="D53" s="13"/>
      <c r="E53" s="65"/>
      <c r="F53" s="13"/>
      <c r="G53" s="13"/>
      <c r="H53" s="20"/>
      <c r="I53" s="20"/>
      <c r="J53" s="20"/>
      <c r="K53" s="14"/>
      <c r="M53" s="98"/>
      <c r="N53" s="14"/>
      <c r="O53" s="14"/>
      <c r="P53" s="167"/>
      <c r="Q53" s="167"/>
      <c r="V53" s="39"/>
    </row>
    <row r="54" spans="1:22" s="38" customFormat="1" ht="15.75" customHeight="1" x14ac:dyDescent="0.2">
      <c r="A54" s="69"/>
      <c r="B54" s="13"/>
      <c r="C54" s="191" t="s">
        <v>113</v>
      </c>
      <c r="D54" s="13"/>
      <c r="E54" s="440">
        <f>E41+E42+E43+E44+E46+E48+E50+E52</f>
        <v>0</v>
      </c>
      <c r="F54" s="13"/>
      <c r="G54" s="438" t="str">
        <f>IF(E54&lt;-0.01, "Rückgabe",IF(E54&gt;0.00001,"Antrag auf Zusatzmittel",""))</f>
        <v/>
      </c>
      <c r="H54" s="140"/>
      <c r="I54" s="140"/>
      <c r="J54" s="140"/>
      <c r="K54" s="439"/>
      <c r="M54" s="98">
        <f>SUM(M41:M52)</f>
        <v>0</v>
      </c>
      <c r="N54" s="14"/>
      <c r="O54" s="14"/>
      <c r="P54" s="167"/>
      <c r="Q54" s="167"/>
      <c r="R54" s="40"/>
      <c r="T54" s="38">
        <f>SUM(T41:T52)</f>
        <v>0</v>
      </c>
      <c r="U54" s="41">
        <f>T37-M54</f>
        <v>0</v>
      </c>
    </row>
    <row r="55" spans="1:22" ht="6" customHeight="1" x14ac:dyDescent="0.2">
      <c r="A55" s="69"/>
      <c r="B55" s="13"/>
      <c r="C55" s="13"/>
      <c r="D55" s="13"/>
      <c r="E55" s="13"/>
      <c r="F55" s="13"/>
      <c r="G55" s="13"/>
      <c r="H55" s="97"/>
      <c r="I55" s="97"/>
      <c r="J55" s="97"/>
      <c r="K55" s="97"/>
      <c r="L55" s="97"/>
      <c r="M55" s="97"/>
      <c r="N55" s="97"/>
      <c r="O55" s="97"/>
      <c r="P55" s="97"/>
      <c r="Q55" s="97"/>
      <c r="R55" s="97"/>
    </row>
    <row r="56" spans="1:22" ht="15.75" x14ac:dyDescent="0.25">
      <c r="A56" s="180"/>
      <c r="B56" s="182" t="s">
        <v>280</v>
      </c>
      <c r="C56" s="182"/>
      <c r="D56" s="182"/>
      <c r="E56" s="183"/>
      <c r="F56" s="183"/>
      <c r="G56" s="68"/>
      <c r="H56" s="184"/>
      <c r="I56" s="184"/>
      <c r="J56" s="184"/>
      <c r="K56" s="184"/>
      <c r="L56" s="184"/>
      <c r="M56" s="184"/>
      <c r="N56" s="184"/>
      <c r="O56" s="184"/>
      <c r="P56" s="68"/>
    </row>
    <row r="57" spans="1:22" ht="6" customHeight="1" x14ac:dyDescent="0.2">
      <c r="A57" s="180"/>
      <c r="C57" s="707" t="str">
        <f>IF(E54&gt;0,"Hiermit werden die in diesem Zwischenbericht (inkl. Annex) gemachten Angaben zur Anzahl der Mobilitäten, Dauer und dem Budget,  sowie die daraus resultierenden finanziellen Änderungen (Antrag auf Zusatzmittel in der Höhe von € "&amp;TEXT(E54,"# ##0,00")&amp;") bestätigt. Die Angaben sind zum Stichtag "&amp;TEXT(Steuerung!O3,"TT.MM.JJJJ")&amp;" gemacht.",IF(E54&lt;0,"Hiermit werden die in diesem Zwischenbericht (inkl. Annex) gemachten Angaben zur Anzahl der Mobilitäten, Dauer und dem Budget,  sowie die daraus resultierenden finanziellen Änderungen (RÜCKGABE von Budgetmittel in der Höhe von  € "&amp;TEXT((E54*-1),"# ##0,00")&amp;") bestätigt.
Die Angaben sind zum Stichtag "&amp;TEXT(Steuerung!O3,"TT.MM.JJJJ")&amp;" gemacht.","Hiermit werden die in diesem Zwischenbericht (inkl. Annex) gemachten Angaben zur Anzahl der Mobilitäten, Dauer und dem Budget (Es ergibt sich keine Änderung des Budgets) bestätigt. Die Angaben sind zum Stichtag "&amp;TEXT(Steuerung!O3,"TT.MM.JJJJ")&amp;" gemacht."))</f>
        <v>Hiermit werden die in diesem Zwischenbericht (inkl. Annex) gemachten Angaben zur Anzahl der Mobilitäten, Dauer und dem Budget (Es ergibt sich keine Änderung des Budgets) bestätigt. Die Angaben sind zum Stichtag 15.09.2023 gemacht.</v>
      </c>
      <c r="D57" s="708"/>
      <c r="E57" s="708"/>
      <c r="F57" s="708"/>
      <c r="G57" s="708"/>
      <c r="H57" s="708"/>
      <c r="I57" s="708"/>
      <c r="J57" s="708"/>
      <c r="K57" s="708"/>
      <c r="L57" s="708"/>
      <c r="M57" s="708"/>
      <c r="N57" s="708"/>
      <c r="O57" s="708"/>
      <c r="P57" s="709"/>
      <c r="Q57" s="74"/>
      <c r="R57" s="74"/>
      <c r="S57" s="192"/>
      <c r="T57" s="192"/>
    </row>
    <row r="58" spans="1:22" ht="12.75" customHeight="1" x14ac:dyDescent="0.2">
      <c r="A58" s="180"/>
      <c r="B58" s="441"/>
      <c r="C58" s="710"/>
      <c r="D58" s="670"/>
      <c r="E58" s="670"/>
      <c r="F58" s="670"/>
      <c r="G58" s="670"/>
      <c r="H58" s="670"/>
      <c r="I58" s="670"/>
      <c r="J58" s="670"/>
      <c r="K58" s="670"/>
      <c r="L58" s="670"/>
      <c r="M58" s="670"/>
      <c r="N58" s="670"/>
      <c r="O58" s="670"/>
      <c r="P58" s="711"/>
      <c r="Q58" s="74"/>
      <c r="R58" s="74"/>
      <c r="S58" s="192"/>
      <c r="T58" s="192"/>
    </row>
    <row r="59" spans="1:22" ht="15.75" customHeight="1" x14ac:dyDescent="0.2">
      <c r="A59" s="180"/>
      <c r="B59" s="441"/>
      <c r="C59" s="710"/>
      <c r="D59" s="670"/>
      <c r="E59" s="670"/>
      <c r="F59" s="670"/>
      <c r="G59" s="670"/>
      <c r="H59" s="670"/>
      <c r="I59" s="670"/>
      <c r="J59" s="670"/>
      <c r="K59" s="670"/>
      <c r="L59" s="670"/>
      <c r="M59" s="670"/>
      <c r="N59" s="670"/>
      <c r="O59" s="670"/>
      <c r="P59" s="711"/>
      <c r="Q59" s="74"/>
      <c r="R59" s="74"/>
      <c r="S59" s="192"/>
      <c r="T59" s="192"/>
    </row>
    <row r="60" spans="1:22" ht="21.75" customHeight="1" x14ac:dyDescent="0.2">
      <c r="A60" s="69"/>
      <c r="B60" s="441"/>
      <c r="C60" s="712"/>
      <c r="D60" s="713"/>
      <c r="E60" s="713"/>
      <c r="F60" s="713"/>
      <c r="G60" s="713"/>
      <c r="H60" s="713"/>
      <c r="I60" s="713"/>
      <c r="J60" s="713"/>
      <c r="K60" s="713"/>
      <c r="L60" s="713"/>
      <c r="M60" s="713"/>
      <c r="N60" s="713"/>
      <c r="O60" s="713"/>
      <c r="P60" s="714"/>
      <c r="Q60" s="74"/>
      <c r="R60" s="74"/>
    </row>
    <row r="61" spans="1:22" ht="4.5" customHeight="1" x14ac:dyDescent="0.2">
      <c r="A61" s="180"/>
    </row>
    <row r="62" spans="1:22" ht="13.5" customHeight="1" x14ac:dyDescent="0.2">
      <c r="A62" s="180"/>
      <c r="B62" s="693"/>
      <c r="C62" s="693"/>
      <c r="D62" s="693"/>
      <c r="E62" s="693"/>
      <c r="F62" s="693"/>
      <c r="G62" s="693"/>
      <c r="H62" s="19"/>
      <c r="I62" s="19"/>
      <c r="J62" s="19"/>
      <c r="K62" s="19"/>
      <c r="L62" s="19"/>
      <c r="M62" s="19"/>
      <c r="N62" s="19"/>
      <c r="O62" s="19"/>
      <c r="P62" s="19"/>
      <c r="Q62" s="19"/>
      <c r="R62" s="19"/>
    </row>
    <row r="63" spans="1:22" ht="4.5" customHeight="1" x14ac:dyDescent="0.2">
      <c r="A63" s="180"/>
      <c r="B63" s="19"/>
      <c r="C63" s="695" t="str">
        <f>IF(OR(R15&lt;&gt;"",R16&lt;&gt;"",R17&lt;&gt;"",R18&lt;&gt;"",R21&lt;&gt;"",R23&lt;&gt;"",R26&lt;&gt;"",R29&lt;&gt;"",R30&lt;&gt;"",R31&lt;&gt;"",R32&lt;&gt;"",R33&lt;&gt;"",R34&lt;&gt;"",R35&lt;&gt;"",R37&lt;&gt;"",R41&lt;&gt;"",R42&lt;&gt;"",R43&lt;&gt;"",R44&lt;&gt;"",R46&lt;&gt;"",R48&lt;&gt;"",R50&lt;&gt;"",R52&lt;&gt;"",R54&lt;&gt;""),"Dieser Bericht kann nicht eingereicht werden, da nicht alle Felder korrekt ausgefüllt sind!","")</f>
        <v/>
      </c>
      <c r="D63" s="695"/>
      <c r="E63" s="695"/>
      <c r="F63" s="695"/>
      <c r="G63" s="695"/>
      <c r="H63" s="695"/>
      <c r="I63" s="695"/>
      <c r="J63" s="695"/>
      <c r="K63" s="695"/>
      <c r="L63" s="695"/>
      <c r="M63" s="695"/>
      <c r="N63" s="19"/>
      <c r="O63" s="19"/>
      <c r="P63" s="19"/>
      <c r="Q63" s="19"/>
      <c r="R63" s="19"/>
    </row>
    <row r="64" spans="1:22" ht="16.5" customHeight="1" x14ac:dyDescent="0.2">
      <c r="A64" s="180"/>
      <c r="B64" s="158"/>
      <c r="C64" s="695"/>
      <c r="D64" s="695"/>
      <c r="E64" s="695"/>
      <c r="F64" s="695"/>
      <c r="G64" s="695"/>
      <c r="H64" s="695"/>
      <c r="I64" s="695"/>
      <c r="J64" s="695"/>
      <c r="K64" s="695"/>
      <c r="L64" s="695"/>
      <c r="M64" s="695"/>
      <c r="N64" s="158"/>
      <c r="O64" s="158"/>
      <c r="P64" s="158"/>
      <c r="Q64" s="158"/>
      <c r="R64" s="158"/>
    </row>
    <row r="65" spans="1:18" ht="9" customHeight="1" x14ac:dyDescent="0.2">
      <c r="A65" s="180"/>
      <c r="C65" s="695"/>
      <c r="D65" s="695"/>
      <c r="E65" s="695"/>
      <c r="F65" s="695"/>
      <c r="G65" s="695"/>
      <c r="H65" s="695"/>
      <c r="I65" s="695"/>
      <c r="J65" s="695"/>
      <c r="K65" s="695"/>
      <c r="L65" s="695"/>
      <c r="M65" s="695"/>
    </row>
    <row r="66" spans="1:18" ht="12.75" customHeight="1" x14ac:dyDescent="0.2">
      <c r="A66" s="180"/>
      <c r="B66" s="178"/>
      <c r="C66" s="695"/>
      <c r="D66" s="695"/>
      <c r="E66" s="695"/>
      <c r="F66" s="695"/>
      <c r="G66" s="695"/>
      <c r="H66" s="695"/>
      <c r="I66" s="695"/>
      <c r="J66" s="695"/>
      <c r="K66" s="695"/>
      <c r="L66" s="695"/>
      <c r="M66" s="695"/>
      <c r="P66" s="70"/>
      <c r="Q66" s="70"/>
      <c r="R66" s="70"/>
    </row>
    <row r="67" spans="1:18" ht="3.75" customHeight="1" x14ac:dyDescent="0.2">
      <c r="A67" s="180"/>
      <c r="H67" s="691"/>
      <c r="I67" s="691"/>
      <c r="J67" s="691"/>
      <c r="K67" s="691"/>
      <c r="L67" s="691"/>
      <c r="M67" s="691"/>
      <c r="N67" s="178"/>
      <c r="O67" s="178"/>
      <c r="P67" s="19"/>
      <c r="Q67" s="19"/>
      <c r="R67" s="19"/>
    </row>
    <row r="68" spans="1:18" ht="12" customHeight="1" x14ac:dyDescent="0.2">
      <c r="A68" s="180"/>
      <c r="B68" s="670"/>
      <c r="C68" s="670"/>
      <c r="D68" s="670"/>
      <c r="E68" s="670"/>
      <c r="F68" s="670"/>
      <c r="G68" s="670"/>
      <c r="H68" s="670"/>
      <c r="I68" s="670"/>
      <c r="J68" s="670"/>
      <c r="K68" s="670"/>
      <c r="L68" s="670"/>
      <c r="M68" s="670"/>
      <c r="N68" s="670"/>
      <c r="O68" s="670"/>
      <c r="P68" s="670"/>
      <c r="Q68" s="74"/>
      <c r="R68" s="74"/>
    </row>
    <row r="69" spans="1:18" ht="13.5" customHeight="1" x14ac:dyDescent="0.25">
      <c r="A69" s="180"/>
      <c r="B69" s="185"/>
      <c r="C69" s="185"/>
      <c r="D69" s="185"/>
      <c r="E69" s="3"/>
      <c r="F69" s="3"/>
      <c r="G69" s="4"/>
      <c r="H69" s="4"/>
      <c r="I69" s="4"/>
      <c r="J69" s="4"/>
      <c r="K69" s="4"/>
      <c r="L69" s="5"/>
      <c r="M69" s="5"/>
      <c r="N69" s="5"/>
      <c r="O69" s="5"/>
      <c r="P69" s="6"/>
      <c r="Q69" s="6"/>
      <c r="R69" s="6"/>
    </row>
    <row r="70" spans="1:18" ht="6.75" customHeight="1" thickBot="1" x14ac:dyDescent="0.25">
      <c r="A70" s="180"/>
    </row>
    <row r="71" spans="1:18" ht="4.5" customHeight="1" x14ac:dyDescent="0.2">
      <c r="A71" s="180"/>
      <c r="B71" s="684"/>
      <c r="C71" s="652"/>
      <c r="D71" s="652"/>
      <c r="E71" s="652"/>
      <c r="F71" s="652"/>
      <c r="G71" s="652"/>
      <c r="H71" s="652"/>
      <c r="I71" s="652"/>
      <c r="J71" s="652"/>
      <c r="K71" s="652"/>
      <c r="L71" s="652"/>
      <c r="M71" s="652"/>
      <c r="N71" s="652"/>
      <c r="O71" s="652"/>
      <c r="P71" s="685"/>
      <c r="Q71" s="178"/>
      <c r="R71" s="178"/>
    </row>
    <row r="72" spans="1:18" ht="13.5" customHeight="1" x14ac:dyDescent="0.2">
      <c r="A72" s="180"/>
      <c r="B72" s="692" t="s">
        <v>137</v>
      </c>
      <c r="C72" s="693"/>
      <c r="D72" s="693"/>
      <c r="E72" s="693"/>
      <c r="F72" s="693"/>
      <c r="G72" s="693"/>
      <c r="H72" s="693"/>
      <c r="I72" s="693"/>
      <c r="J72" s="693"/>
      <c r="K72" s="693"/>
      <c r="L72" s="693"/>
      <c r="M72" s="693"/>
      <c r="N72" s="693"/>
      <c r="O72" s="693"/>
      <c r="P72" s="694"/>
      <c r="Q72" s="158"/>
      <c r="R72" s="158"/>
    </row>
    <row r="73" spans="1:18" ht="7.5" customHeight="1" x14ac:dyDescent="0.2">
      <c r="A73" s="180"/>
      <c r="B73" s="692"/>
      <c r="C73" s="693"/>
      <c r="D73" s="693"/>
      <c r="E73" s="693"/>
      <c r="F73" s="693"/>
      <c r="G73" s="693"/>
      <c r="H73" s="693"/>
      <c r="I73" s="693"/>
      <c r="J73" s="693"/>
      <c r="K73" s="693"/>
      <c r="L73" s="693"/>
      <c r="M73" s="693"/>
      <c r="N73" s="693"/>
      <c r="O73" s="693"/>
      <c r="P73" s="694"/>
      <c r="Q73" s="158"/>
      <c r="R73" s="158"/>
    </row>
    <row r="74" spans="1:18" ht="26.25" customHeight="1" x14ac:dyDescent="0.2">
      <c r="A74" s="180"/>
      <c r="B74" s="157"/>
      <c r="C74" s="158"/>
      <c r="D74" s="158"/>
      <c r="E74" s="158"/>
      <c r="F74" s="158"/>
      <c r="G74" s="158"/>
      <c r="I74" s="11"/>
      <c r="L74" s="158"/>
      <c r="M74" s="158"/>
      <c r="N74" s="158"/>
      <c r="O74" s="158"/>
      <c r="P74" s="177"/>
      <c r="Q74" s="158"/>
      <c r="R74" s="158"/>
    </row>
    <row r="75" spans="1:18" ht="15" customHeight="1" x14ac:dyDescent="0.2">
      <c r="A75" s="180"/>
      <c r="B75" s="719"/>
      <c r="C75" s="720"/>
      <c r="D75" s="721"/>
      <c r="E75" s="67"/>
      <c r="F75" s="68"/>
      <c r="G75" s="68"/>
      <c r="H75" s="8"/>
      <c r="I75" s="193"/>
      <c r="P75" s="12"/>
    </row>
    <row r="76" spans="1:18" ht="12.75" customHeight="1" x14ac:dyDescent="0.2">
      <c r="A76" s="180"/>
      <c r="B76" s="16" t="s">
        <v>138</v>
      </c>
      <c r="C76" s="162"/>
      <c r="D76" s="162"/>
      <c r="E76" s="688" t="s">
        <v>139</v>
      </c>
      <c r="F76" s="688"/>
      <c r="G76" s="688"/>
      <c r="I76" s="433" t="str">
        <f>IF(VLOOKUP(G5,Daten[],8,0)="","","Datum")</f>
        <v/>
      </c>
      <c r="J76" s="688" t="str">
        <f>IF(VLOOKUP(G5,Daten[],8,0)="","","Unterschrift")</f>
        <v/>
      </c>
      <c r="K76" s="688"/>
      <c r="L76" s="688"/>
      <c r="M76" s="688"/>
      <c r="N76" s="161"/>
      <c r="O76" s="161"/>
      <c r="P76" s="431"/>
      <c r="R76" s="178"/>
    </row>
    <row r="77" spans="1:18" ht="6" customHeight="1" x14ac:dyDescent="0.2">
      <c r="A77" s="180"/>
      <c r="B77" s="9"/>
      <c r="I77" s="690"/>
      <c r="J77" s="691"/>
      <c r="K77" s="691"/>
      <c r="L77" s="691"/>
      <c r="M77" s="691"/>
      <c r="N77" s="178"/>
      <c r="O77" s="178"/>
      <c r="P77" s="194"/>
      <c r="Q77" s="19"/>
      <c r="R77" s="19"/>
    </row>
    <row r="78" spans="1:18" ht="15" customHeight="1" thickBot="1" x14ac:dyDescent="0.25">
      <c r="A78" s="180"/>
      <c r="B78" s="686" t="str">
        <f>IF(VLOOKUP(G5,Daten[],6,0)="","",VLOOKUP(G5,Daten[],6,0))</f>
        <v/>
      </c>
      <c r="C78" s="687"/>
      <c r="D78" s="687"/>
      <c r="E78" s="687"/>
      <c r="F78" s="687"/>
      <c r="G78" s="687"/>
      <c r="H78" s="434"/>
      <c r="I78" s="689" t="str">
        <f>IF(VLOOKUP(G5,Daten[],8,0)="","",VLOOKUP(G5,Daten[],8,0))</f>
        <v/>
      </c>
      <c r="J78" s="687"/>
      <c r="K78" s="687"/>
      <c r="L78" s="687"/>
      <c r="M78" s="687"/>
      <c r="N78" s="295"/>
      <c r="O78" s="295"/>
      <c r="P78" s="432"/>
      <c r="Q78" s="155"/>
      <c r="R78" s="74"/>
    </row>
    <row r="80" spans="1:18" x14ac:dyDescent="0.2">
      <c r="B80" s="303" t="str">
        <f>Steuerung!U4</f>
        <v>Ben_InRe1-KA131_Call2023_v2023-09-14_frei_mgr</v>
      </c>
      <c r="C80" s="303"/>
      <c r="D80" s="303"/>
    </row>
    <row r="83" spans="2:16" ht="80.25" customHeight="1" x14ac:dyDescent="0.2">
      <c r="B83" s="680" t="str">
        <f>Steuerung!U5&amp;"
ERASMUS+  Mobilität von Lernenden und Bildungspersonal (KA131)
"&amp;Steuerung!U6&amp;"
ANNEX1 Begründungen"</f>
        <v>1.  Z W I S C H E N B E R I C H T
ERASMUS+  Mobilität von Lernenden und Bildungspersonal (KA131)
Call 2023
ANNEX1 Begründungen</v>
      </c>
      <c r="C83" s="681"/>
      <c r="D83" s="681"/>
      <c r="E83" s="682"/>
      <c r="F83" s="682"/>
      <c r="G83" s="682"/>
      <c r="H83" s="682"/>
      <c r="I83" s="682"/>
      <c r="J83" s="682"/>
      <c r="K83" s="682"/>
      <c r="L83" s="682"/>
      <c r="M83" s="682"/>
      <c r="N83" s="682"/>
      <c r="O83" s="682"/>
      <c r="P83" s="683"/>
    </row>
    <row r="87" spans="2:16" x14ac:dyDescent="0.2">
      <c r="B87" s="1" t="s">
        <v>794</v>
      </c>
    </row>
    <row r="88" spans="2:16" ht="63.75" customHeight="1" x14ac:dyDescent="0.2">
      <c r="B88" s="699" t="str">
        <f>IF('Dateneingabe Mobilitäten'!N98="","",'Dateneingabe Mobilitäten'!N98)</f>
        <v/>
      </c>
      <c r="C88" s="700"/>
      <c r="D88" s="700"/>
      <c r="E88" s="700"/>
      <c r="F88" s="700"/>
      <c r="G88" s="700"/>
      <c r="H88" s="700"/>
      <c r="I88" s="700"/>
      <c r="J88" s="700"/>
      <c r="K88" s="700"/>
      <c r="L88" s="700"/>
      <c r="M88" s="700"/>
      <c r="N88" s="700"/>
      <c r="O88" s="700"/>
      <c r="P88" s="701"/>
    </row>
    <row r="89" spans="2:16" ht="63.75" customHeight="1" x14ac:dyDescent="0.2">
      <c r="B89" s="702"/>
      <c r="C89" s="668"/>
      <c r="D89" s="668"/>
      <c r="E89" s="668"/>
      <c r="F89" s="668"/>
      <c r="G89" s="668"/>
      <c r="H89" s="668"/>
      <c r="I89" s="668"/>
      <c r="J89" s="668"/>
      <c r="K89" s="668"/>
      <c r="L89" s="668"/>
      <c r="M89" s="668"/>
      <c r="N89" s="668"/>
      <c r="O89" s="668"/>
      <c r="P89" s="703"/>
    </row>
    <row r="90" spans="2:16" ht="63.75" customHeight="1" x14ac:dyDescent="0.2">
      <c r="B90" s="704"/>
      <c r="C90" s="705"/>
      <c r="D90" s="705"/>
      <c r="E90" s="705"/>
      <c r="F90" s="705"/>
      <c r="G90" s="705"/>
      <c r="H90" s="705"/>
      <c r="I90" s="705"/>
      <c r="J90" s="705"/>
      <c r="K90" s="705"/>
      <c r="L90" s="705"/>
      <c r="M90" s="705"/>
      <c r="N90" s="705"/>
      <c r="O90" s="705"/>
      <c r="P90" s="706"/>
    </row>
    <row r="93" spans="2:16" x14ac:dyDescent="0.2">
      <c r="B93" s="1" t="s">
        <v>795</v>
      </c>
    </row>
    <row r="94" spans="2:16" s="472" customFormat="1" ht="63.75" customHeight="1" x14ac:dyDescent="0.2">
      <c r="B94" s="699" t="str">
        <f>IF('Dateneingabe Mobilitäten'!N103="","",'Dateneingabe Mobilitäten'!N103)</f>
        <v/>
      </c>
      <c r="C94" s="700"/>
      <c r="D94" s="700"/>
      <c r="E94" s="700"/>
      <c r="F94" s="700"/>
      <c r="G94" s="700"/>
      <c r="H94" s="700"/>
      <c r="I94" s="700"/>
      <c r="J94" s="700"/>
      <c r="K94" s="700"/>
      <c r="L94" s="700"/>
      <c r="M94" s="700"/>
      <c r="N94" s="700"/>
      <c r="O94" s="700"/>
      <c r="P94" s="701"/>
    </row>
    <row r="95" spans="2:16" s="472" customFormat="1" ht="63.75" customHeight="1" x14ac:dyDescent="0.2">
      <c r="B95" s="702"/>
      <c r="C95" s="668"/>
      <c r="D95" s="668"/>
      <c r="E95" s="668"/>
      <c r="F95" s="668"/>
      <c r="G95" s="668"/>
      <c r="H95" s="668"/>
      <c r="I95" s="668"/>
      <c r="J95" s="668"/>
      <c r="K95" s="668"/>
      <c r="L95" s="668"/>
      <c r="M95" s="668"/>
      <c r="N95" s="668"/>
      <c r="O95" s="668"/>
      <c r="P95" s="703"/>
    </row>
    <row r="96" spans="2:16" s="472" customFormat="1" ht="63.75" customHeight="1" x14ac:dyDescent="0.2">
      <c r="B96" s="704"/>
      <c r="C96" s="705"/>
      <c r="D96" s="705"/>
      <c r="E96" s="705"/>
      <c r="F96" s="705"/>
      <c r="G96" s="705"/>
      <c r="H96" s="705"/>
      <c r="I96" s="705"/>
      <c r="J96" s="705"/>
      <c r="K96" s="705"/>
      <c r="L96" s="705"/>
      <c r="M96" s="705"/>
      <c r="N96" s="705"/>
      <c r="O96" s="705"/>
      <c r="P96" s="706"/>
    </row>
  </sheetData>
  <sheetProtection algorithmName="SHA-512" hashValue="rImu3ozJI7JF1cvrA/JXtNn+tbUDzoRdujZhciVc/JRQ+PY7aXeoIl9y38dmv2lIJ5WrngLrXnGHOvtMS7tVaQ==" saltValue="sy+m8w+PGLhfbTsZd2EqdA==" spinCount="100000" sheet="1" selectLockedCells="1"/>
  <mergeCells count="33">
    <mergeCell ref="G5:P5"/>
    <mergeCell ref="G6:P6"/>
    <mergeCell ref="G7:P7"/>
    <mergeCell ref="G8:P8"/>
    <mergeCell ref="G9:P9"/>
    <mergeCell ref="C5:E5"/>
    <mergeCell ref="C6:E6"/>
    <mergeCell ref="C7:E7"/>
    <mergeCell ref="C8:E8"/>
    <mergeCell ref="C9:E9"/>
    <mergeCell ref="B88:P90"/>
    <mergeCell ref="B94:P96"/>
    <mergeCell ref="B83:P83"/>
    <mergeCell ref="C57:P60"/>
    <mergeCell ref="G14:H14"/>
    <mergeCell ref="F24:O24"/>
    <mergeCell ref="B75:D75"/>
    <mergeCell ref="E1:F1"/>
    <mergeCell ref="B3:P3"/>
    <mergeCell ref="B71:P71"/>
    <mergeCell ref="B78:G78"/>
    <mergeCell ref="B68:G68"/>
    <mergeCell ref="H68:P68"/>
    <mergeCell ref="E76:G76"/>
    <mergeCell ref="I78:M78"/>
    <mergeCell ref="J76:M76"/>
    <mergeCell ref="I77:M77"/>
    <mergeCell ref="B72:P73"/>
    <mergeCell ref="H67:M67"/>
    <mergeCell ref="B62:G62"/>
    <mergeCell ref="C63:M66"/>
    <mergeCell ref="C13:E13"/>
    <mergeCell ref="G13:M13"/>
  </mergeCells>
  <phoneticPr fontId="1" type="noConversion"/>
  <conditionalFormatting sqref="C57 B58:B60">
    <cfRule type="expression" dxfId="25" priority="223">
      <formula>$G$54="Verzicht"</formula>
    </cfRule>
  </conditionalFormatting>
  <conditionalFormatting sqref="C63:M66">
    <cfRule type="expression" dxfId="24" priority="1">
      <formula>$C$63&lt;&gt;""</formula>
    </cfRule>
  </conditionalFormatting>
  <conditionalFormatting sqref="E46:E54 G47:J47">
    <cfRule type="expression" dxfId="23" priority="5">
      <formula>$P46="Ablehnen"</formula>
    </cfRule>
  </conditionalFormatting>
  <conditionalFormatting sqref="G45:J45 E46:E54 G47:J47">
    <cfRule type="expression" dxfId="22" priority="4">
      <formula>$P45="-"</formula>
    </cfRule>
  </conditionalFormatting>
  <conditionalFormatting sqref="G45:J45">
    <cfRule type="expression" dxfId="21" priority="21">
      <formula>$P45="Ablehnen"</formula>
    </cfRule>
  </conditionalFormatting>
  <conditionalFormatting sqref="I75">
    <cfRule type="expression" dxfId="19" priority="219">
      <formula>$I$78&lt;&gt;""</formula>
    </cfRule>
  </conditionalFormatting>
  <conditionalFormatting sqref="P53:Q53">
    <cfRule type="expression" dxfId="17" priority="222">
      <formula>$E53&lt;0</formula>
    </cfRule>
  </conditionalFormatting>
  <dataValidations count="1">
    <dataValidation allowBlank="1" sqref="L56:R56 B4:G4 B55:K56 B69:K70 S60 S55:S56 A55:A60 S8:S41" xr:uid="{B83943EC-8DB4-4801-A8E7-086A035410C0}"/>
  </dataValidations>
  <printOptions horizontalCentered="1"/>
  <pageMargins left="0.23622047244094491" right="0.27559055118110237" top="0.15748031496062992" bottom="0.35433070866141736" header="0.15748031496062992" footer="0.51181102362204722"/>
  <pageSetup paperSize="9" scale="72" fitToHeight="2" orientation="portrait" r:id="rId1"/>
  <headerFooter alignWithMargins="0">
    <oddFooter>&amp;R&amp;"-,Standard"&amp;9gedruckt am: &amp;D</oddFooter>
  </headerFooter>
  <rowBreaks count="1" manualBreakCount="1">
    <brk id="81" min="1" max="15" man="1"/>
  </rowBreaks>
  <cellWatches>
    <cellWatch r="G5"/>
  </cellWatches>
  <ignoredErrors>
    <ignoredError sqref="H19"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3" id="{72544D72-A309-4226-98A0-6D48BA1BB76E}">
            <xm:f>'Dateneingabe Mobilitäten'!$AC$37:$AC$38&lt;0</xm:f>
            <x14:dxf>
              <fill>
                <patternFill>
                  <bgColor rgb="FFFF0000"/>
                </patternFill>
              </fill>
            </x14:dxf>
          </x14:cfRule>
          <xm:sqref>I21</xm:sqref>
        </x14:conditionalFormatting>
        <x14:conditionalFormatting xmlns:xm="http://schemas.microsoft.com/office/excel/2006/main">
          <x14:cfRule type="expression" priority="2" id="{49EFC163-DC09-4F42-9E10-B97027074D81}">
            <xm:f>'Dateneingabe Mobilitäten'!$AC$37:$AC$38&lt;0</xm:f>
            <x14:dxf>
              <fill>
                <patternFill>
                  <bgColor rgb="FFFF0000"/>
                </patternFill>
              </fill>
            </x14:dxf>
          </x14:cfRule>
          <xm:sqref>M21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98BC7-8FB7-4884-9F9A-1A2F66A64711}">
  <sheetPr>
    <pageSetUpPr fitToPage="1"/>
  </sheetPr>
  <dimension ref="A1:AE100"/>
  <sheetViews>
    <sheetView workbookViewId="0">
      <selection activeCell="B5" sqref="B5:AD5"/>
    </sheetView>
  </sheetViews>
  <sheetFormatPr baseColWidth="10" defaultColWidth="11.42578125" defaultRowHeight="12.75" outlineLevelCol="1" x14ac:dyDescent="0.2"/>
  <cols>
    <col min="1" max="1" width="2" style="1" customWidth="1"/>
    <col min="2" max="2" width="1.42578125" style="1" customWidth="1"/>
    <col min="3" max="3" width="25" style="1" customWidth="1"/>
    <col min="4" max="4" width="12.28515625" style="1" customWidth="1"/>
    <col min="5" max="5" width="4.28515625" style="29" customWidth="1"/>
    <col min="6" max="7" width="14" style="1" customWidth="1"/>
    <col min="8" max="8" width="11.140625" style="1" customWidth="1"/>
    <col min="9" max="9" width="2.28515625" style="1" customWidth="1"/>
    <col min="10" max="10" width="7.85546875" style="1" hidden="1" customWidth="1" outlineLevel="1"/>
    <col min="11" max="11" width="15.28515625" style="1" hidden="1" customWidth="1" outlineLevel="1"/>
    <col min="12" max="12" width="10.85546875" style="1" hidden="1" customWidth="1" outlineLevel="1"/>
    <col min="13" max="13" width="9.28515625" style="1" hidden="1" customWidth="1" outlineLevel="1"/>
    <col min="14" max="14" width="10.85546875" style="1" hidden="1" customWidth="1" outlineLevel="1"/>
    <col min="15" max="15" width="8.85546875" style="1" hidden="1" customWidth="1" outlineLevel="1"/>
    <col min="16" max="16" width="8.140625" style="1" hidden="1" customWidth="1" outlineLevel="1"/>
    <col min="17" max="17" width="9.28515625" style="1" hidden="1" customWidth="1" outlineLevel="1"/>
    <col min="18" max="18" width="7.85546875" style="1" hidden="1" customWidth="1" outlineLevel="1"/>
    <col min="19" max="19" width="9.28515625" style="1" hidden="1" customWidth="1" outlineLevel="1"/>
    <col min="20" max="20" width="11.5703125" style="1" hidden="1" customWidth="1" outlineLevel="1"/>
    <col min="21" max="21" width="11.42578125" style="1" hidden="1" customWidth="1" outlineLevel="1"/>
    <col min="22" max="22" width="8.7109375" style="1" hidden="1" customWidth="1" outlineLevel="1"/>
    <col min="23" max="23" width="9.28515625" style="1" hidden="1" customWidth="1" outlineLevel="1"/>
    <col min="24" max="24" width="12.42578125" style="1" bestFit="1" customWidth="1" collapsed="1"/>
    <col min="25" max="25" width="12.140625" style="1" customWidth="1"/>
    <col min="26" max="26" width="13.140625" style="1" bestFit="1" customWidth="1"/>
    <col min="27" max="27" width="10.85546875" style="1" hidden="1" customWidth="1"/>
    <col min="28" max="29" width="12" style="1" customWidth="1"/>
    <col min="30" max="30" width="1.42578125" style="1" customWidth="1"/>
    <col min="31" max="16384" width="11.42578125" style="1"/>
  </cols>
  <sheetData>
    <row r="1" spans="1:30" ht="15.75" customHeight="1" x14ac:dyDescent="0.2">
      <c r="C1" s="71"/>
      <c r="D1" s="71"/>
      <c r="E1" s="42"/>
      <c r="F1" s="103"/>
      <c r="G1" s="104"/>
      <c r="H1" s="104"/>
      <c r="I1" s="42"/>
      <c r="J1" s="42"/>
      <c r="K1" s="42"/>
      <c r="X1" s="88"/>
    </row>
    <row r="2" spans="1:30" ht="15.75" customHeight="1" x14ac:dyDescent="0.2">
      <c r="C2" s="71"/>
      <c r="D2" s="71"/>
      <c r="E2" s="42"/>
      <c r="F2" s="103"/>
      <c r="G2" s="104"/>
      <c r="H2" s="104"/>
      <c r="I2" s="42"/>
      <c r="J2" s="42"/>
      <c r="K2" s="42"/>
      <c r="X2" s="88"/>
    </row>
    <row r="3" spans="1:30" ht="15.75" customHeight="1" x14ac:dyDescent="0.2">
      <c r="C3" s="71"/>
      <c r="D3" s="71"/>
      <c r="E3" s="42"/>
      <c r="F3" s="103"/>
      <c r="G3" s="104"/>
      <c r="H3" s="104"/>
      <c r="I3" s="42"/>
      <c r="J3" s="42"/>
      <c r="K3" s="42"/>
      <c r="X3" s="88"/>
    </row>
    <row r="4" spans="1:30" ht="15.75" customHeight="1" thickBot="1" x14ac:dyDescent="0.25">
      <c r="C4" s="71"/>
      <c r="D4" s="71"/>
      <c r="E4" s="42"/>
      <c r="F4" s="103"/>
      <c r="G4" s="104"/>
      <c r="H4" s="104"/>
      <c r="I4" s="42"/>
      <c r="J4" s="42"/>
      <c r="K4" s="42"/>
      <c r="X4" s="88"/>
    </row>
    <row r="5" spans="1:30" ht="66.75" customHeight="1" thickBot="1" x14ac:dyDescent="0.25">
      <c r="A5" s="2"/>
      <c r="B5" s="750" t="str">
        <f>Steuerung!U5&amp;"
"&amp;Steuerung!U7&amp;" "&amp; Steuerung!U8&amp;"
"&amp;Steuerung!U6</f>
        <v>1.  Z W I S C H E N B E R I C H T
ERASMUS+ MOBILITÄTSPROJEKTE FÜR STUDIERENDE UND HOCHSCHULPERSONAL (KA131)
Call 2023</v>
      </c>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2"/>
    </row>
    <row r="6" spans="1:30" ht="15.75" customHeight="1" x14ac:dyDescent="0.2">
      <c r="C6" s="71"/>
      <c r="D6" s="71"/>
      <c r="E6" s="42"/>
      <c r="F6" s="103"/>
      <c r="G6" s="104"/>
      <c r="H6" s="104"/>
      <c r="I6" s="42"/>
      <c r="J6" s="42"/>
      <c r="K6" s="42"/>
      <c r="X6" s="88"/>
      <c r="AC6" s="758" t="str">
        <f>Erklärung!J6</f>
        <v>1.1.0.e</v>
      </c>
      <c r="AD6" s="758"/>
    </row>
    <row r="7" spans="1:30" ht="16.5" customHeight="1" x14ac:dyDescent="0.2"/>
    <row r="8" spans="1:30" s="22" customFormat="1" ht="53.25" customHeight="1" thickBot="1" x14ac:dyDescent="0.25">
      <c r="C8" s="753" t="str">
        <f>'Dateneingabe Mobilitäten'!C1</f>
        <v>&lt;-- Bitte Erasmus Code auswählen --&gt;</v>
      </c>
      <c r="D8" s="753"/>
      <c r="E8" s="753"/>
      <c r="F8" s="91" t="s">
        <v>273</v>
      </c>
      <c r="G8" s="91" t="s">
        <v>255</v>
      </c>
      <c r="H8" s="91" t="s">
        <v>388</v>
      </c>
      <c r="K8" s="92"/>
      <c r="L8" s="643" t="s">
        <v>278</v>
      </c>
      <c r="M8" s="643"/>
      <c r="N8" s="643"/>
      <c r="O8" s="643"/>
      <c r="P8" s="643"/>
      <c r="Q8" s="643"/>
      <c r="R8" s="643"/>
      <c r="S8" s="643"/>
      <c r="T8" s="643"/>
      <c r="U8" s="643"/>
      <c r="V8" s="643"/>
      <c r="W8" s="754"/>
      <c r="X8" s="91" t="s">
        <v>282</v>
      </c>
      <c r="Y8" s="124" t="s">
        <v>303</v>
      </c>
      <c r="Z8" s="91" t="s">
        <v>266</v>
      </c>
      <c r="AA8" s="91" t="s">
        <v>265</v>
      </c>
      <c r="AB8" s="91" t="s">
        <v>417</v>
      </c>
      <c r="AC8" s="91" t="s">
        <v>785</v>
      </c>
    </row>
    <row r="9" spans="1:30" s="22" customFormat="1" ht="7.5" customHeight="1" thickTop="1" thickBot="1" x14ac:dyDescent="0.25">
      <c r="B9" s="46"/>
      <c r="C9" s="93"/>
      <c r="D9" s="93"/>
      <c r="E9" s="94"/>
      <c r="F9" s="95"/>
      <c r="G9" s="95"/>
      <c r="H9" s="95"/>
      <c r="I9" s="93"/>
      <c r="J9" s="93"/>
      <c r="K9" s="93"/>
      <c r="L9" s="96"/>
      <c r="M9" s="96"/>
      <c r="N9" s="96"/>
      <c r="O9" s="96"/>
      <c r="P9" s="96"/>
      <c r="Q9" s="96"/>
      <c r="R9" s="96"/>
      <c r="S9" s="96"/>
      <c r="T9" s="96"/>
      <c r="U9" s="96"/>
      <c r="V9" s="96"/>
      <c r="W9" s="96"/>
      <c r="X9" s="95"/>
      <c r="Y9" s="96"/>
      <c r="Z9" s="93"/>
      <c r="AA9" s="93"/>
      <c r="AB9" s="93"/>
      <c r="AC9" s="93"/>
      <c r="AD9" s="47"/>
    </row>
    <row r="10" spans="1:30" x14ac:dyDescent="0.2">
      <c r="B10" s="48"/>
      <c r="C10" s="747" t="s">
        <v>251</v>
      </c>
      <c r="D10" s="31"/>
      <c r="E10" s="33" t="s">
        <v>252</v>
      </c>
      <c r="F10" s="82">
        <f>'Dateneingabe Mobilitäten'!G4</f>
        <v>0</v>
      </c>
      <c r="G10" s="82">
        <f>'Dateneingabe Mobilitäten'!H4</f>
        <v>0</v>
      </c>
      <c r="H10" s="31">
        <f>F10+G10</f>
        <v>0</v>
      </c>
      <c r="I10" s="31"/>
      <c r="J10" s="31"/>
      <c r="K10" s="31"/>
      <c r="L10" s="44"/>
      <c r="M10" s="44"/>
      <c r="N10" s="44"/>
      <c r="O10" s="44"/>
      <c r="P10" s="44"/>
      <c r="Q10" s="44"/>
      <c r="R10" s="44"/>
      <c r="S10" s="44"/>
      <c r="T10" s="44"/>
      <c r="U10" s="44"/>
      <c r="V10" s="44"/>
      <c r="W10" s="44"/>
      <c r="X10" s="31">
        <f>'Dateneingabe Mobilitäten'!F4</f>
        <v>0</v>
      </c>
      <c r="Y10" s="44"/>
      <c r="Z10" s="44"/>
      <c r="AA10" s="44">
        <f>H10-X10</f>
        <v>0</v>
      </c>
      <c r="AB10" s="755">
        <f>'Dateneingabe Mobilitäten'!AD4</f>
        <v>0</v>
      </c>
      <c r="AC10" s="733">
        <f>'Dateneingabe Mobilitäten'!AE4</f>
        <v>0</v>
      </c>
      <c r="AD10" s="49"/>
    </row>
    <row r="11" spans="1:30" x14ac:dyDescent="0.2">
      <c r="B11" s="48"/>
      <c r="C11" s="748"/>
      <c r="E11" s="29" t="s">
        <v>271</v>
      </c>
      <c r="F11" s="100">
        <f>'Dateneingabe Mobilitäten'!G5</f>
        <v>0</v>
      </c>
      <c r="G11" s="100">
        <f>'Dateneingabe Mobilitäten'!H5</f>
        <v>0</v>
      </c>
      <c r="H11" s="1">
        <f t="shared" ref="H11:H13" si="0">F11+G11</f>
        <v>0</v>
      </c>
      <c r="K11" s="62" t="s">
        <v>386</v>
      </c>
      <c r="L11" s="62" t="s">
        <v>250</v>
      </c>
      <c r="M11" s="62" t="s">
        <v>249</v>
      </c>
      <c r="N11" s="62" t="s">
        <v>262</v>
      </c>
      <c r="O11" s="62" t="s">
        <v>263</v>
      </c>
      <c r="P11" s="62" t="s">
        <v>245</v>
      </c>
      <c r="Q11" s="62" t="s">
        <v>247</v>
      </c>
      <c r="R11" s="62" t="s">
        <v>246</v>
      </c>
      <c r="S11" s="62" t="s">
        <v>248</v>
      </c>
      <c r="T11" s="62" t="s">
        <v>466</v>
      </c>
      <c r="U11" s="62" t="s">
        <v>526</v>
      </c>
      <c r="V11" s="62" t="s">
        <v>264</v>
      </c>
      <c r="W11" s="62" t="s">
        <v>277</v>
      </c>
      <c r="Y11" s="62"/>
      <c r="AB11" s="756"/>
      <c r="AC11" s="734"/>
      <c r="AD11" s="49"/>
    </row>
    <row r="12" spans="1:30" x14ac:dyDescent="0.2">
      <c r="B12" s="48"/>
      <c r="C12" s="748"/>
      <c r="E12" s="29" t="s">
        <v>272</v>
      </c>
      <c r="F12" s="100">
        <f>'Dateneingabe Mobilitäten'!G6</f>
        <v>0</v>
      </c>
      <c r="G12" s="100">
        <f>'Dateneingabe Mobilitäten'!H6</f>
        <v>0</v>
      </c>
      <c r="H12" s="1">
        <f t="shared" si="0"/>
        <v>0</v>
      </c>
      <c r="J12" s="29" t="s">
        <v>385</v>
      </c>
      <c r="K12" s="106">
        <f>MAX(0,J13)</f>
        <v>0</v>
      </c>
      <c r="O12" s="83">
        <f>'Dateneingabe Mobilitäten'!Q6</f>
        <v>0</v>
      </c>
      <c r="Q12" s="83">
        <f>'Dateneingabe Mobilitäten'!S6</f>
        <v>0</v>
      </c>
      <c r="S12" s="83">
        <f>'Dateneingabe Mobilitäten'!U6</f>
        <v>0</v>
      </c>
      <c r="T12" s="7">
        <f>'Dateneingabe Mobilitäten'!V6</f>
        <v>0</v>
      </c>
      <c r="U12" s="7">
        <f>'Dateneingabe Mobilitäten'!W6</f>
        <v>0</v>
      </c>
      <c r="AB12" s="756"/>
      <c r="AC12" s="734"/>
      <c r="AD12" s="49"/>
    </row>
    <row r="13" spans="1:30" ht="13.5" thickBot="1" x14ac:dyDescent="0.25">
      <c r="B13" s="48"/>
      <c r="C13" s="749"/>
      <c r="D13" s="34"/>
      <c r="E13" s="36" t="s">
        <v>112</v>
      </c>
      <c r="F13" s="101">
        <f>'Dateneingabe Mobilitäten'!G7</f>
        <v>0</v>
      </c>
      <c r="G13" s="101">
        <f>'Dateneingabe Mobilitäten'!H7</f>
        <v>0</v>
      </c>
      <c r="H13" s="102">
        <f t="shared" si="0"/>
        <v>0</v>
      </c>
      <c r="I13" s="85"/>
      <c r="J13" s="86">
        <f>X13-H13</f>
        <v>0</v>
      </c>
      <c r="K13" s="34"/>
      <c r="L13" s="99"/>
      <c r="M13" s="99"/>
      <c r="N13" s="99">
        <f>M17</f>
        <v>0</v>
      </c>
      <c r="O13" s="99">
        <f>O12*-1</f>
        <v>0</v>
      </c>
      <c r="P13" s="99">
        <f>M27</f>
        <v>0</v>
      </c>
      <c r="Q13" s="99">
        <f>Q12*-1</f>
        <v>0</v>
      </c>
      <c r="R13" s="99">
        <f>M32</f>
        <v>0</v>
      </c>
      <c r="S13" s="99">
        <f>S12*-1</f>
        <v>0</v>
      </c>
      <c r="T13" s="99">
        <f t="shared" ref="T13:U13" si="1">T12*-1</f>
        <v>0</v>
      </c>
      <c r="U13" s="99">
        <f t="shared" si="1"/>
        <v>0</v>
      </c>
      <c r="V13" s="99">
        <f>M49</f>
        <v>0</v>
      </c>
      <c r="W13" s="99">
        <f>M61+M65+M69+M73+M77+M81</f>
        <v>0</v>
      </c>
      <c r="X13" s="99">
        <f>'Dateneingabe Mobilitäten'!F7</f>
        <v>0</v>
      </c>
      <c r="Y13" s="99">
        <f>SUM('Dateneingabe Mobilitäten'!N7:AA7)</f>
        <v>0</v>
      </c>
      <c r="Z13" s="102">
        <f>'Dateneingabe Mobilitäten'!AB4</f>
        <v>0</v>
      </c>
      <c r="AA13" s="107">
        <f>Z13-H13</f>
        <v>0</v>
      </c>
      <c r="AB13" s="757"/>
      <c r="AC13" s="735"/>
      <c r="AD13" s="49"/>
    </row>
    <row r="14" spans="1:30" ht="13.5" thickBot="1" x14ac:dyDescent="0.25">
      <c r="B14" s="48"/>
      <c r="AB14" s="38"/>
      <c r="AC14" s="38"/>
      <c r="AD14" s="49"/>
    </row>
    <row r="15" spans="1:30" x14ac:dyDescent="0.2">
      <c r="B15" s="48"/>
      <c r="C15" s="747" t="s">
        <v>253</v>
      </c>
      <c r="D15" s="31"/>
      <c r="E15" s="33" t="s">
        <v>252</v>
      </c>
      <c r="F15" s="82">
        <f>'Dateneingabe Mobilitäten'!G9</f>
        <v>0</v>
      </c>
      <c r="G15" s="82">
        <f>'Dateneingabe Mobilitäten'!H9</f>
        <v>0</v>
      </c>
      <c r="H15" s="31">
        <f>F15+G15</f>
        <v>0</v>
      </c>
      <c r="I15" s="31"/>
      <c r="J15" s="31"/>
      <c r="K15" s="31"/>
      <c r="L15" s="31"/>
      <c r="M15" s="31"/>
      <c r="N15" s="31"/>
      <c r="O15" s="31"/>
      <c r="P15" s="31"/>
      <c r="Q15" s="31"/>
      <c r="R15" s="31"/>
      <c r="S15" s="31"/>
      <c r="T15" s="31"/>
      <c r="U15" s="31"/>
      <c r="V15" s="31"/>
      <c r="W15" s="31"/>
      <c r="X15" s="31">
        <f>'Dateneingabe Mobilitäten'!F9</f>
        <v>0</v>
      </c>
      <c r="Y15" s="31"/>
      <c r="Z15" s="31"/>
      <c r="AA15" s="44">
        <f>H15-X15</f>
        <v>0</v>
      </c>
      <c r="AB15" s="755">
        <f>'Dateneingabe Mobilitäten'!AD9</f>
        <v>0</v>
      </c>
      <c r="AC15" s="733">
        <f>'Dateneingabe Mobilitäten'!AE9</f>
        <v>0</v>
      </c>
      <c r="AD15" s="49"/>
    </row>
    <row r="16" spans="1:30" x14ac:dyDescent="0.2">
      <c r="B16" s="48"/>
      <c r="C16" s="748"/>
      <c r="E16" s="29" t="s">
        <v>271</v>
      </c>
      <c r="F16" s="100">
        <f>'Dateneingabe Mobilitäten'!G10</f>
        <v>0</v>
      </c>
      <c r="G16" s="100">
        <f>'Dateneingabe Mobilitäten'!H10</f>
        <v>0</v>
      </c>
      <c r="H16" s="1">
        <f t="shared" ref="H16:H18" si="2">F16+G16</f>
        <v>0</v>
      </c>
      <c r="K16" s="62" t="s">
        <v>386</v>
      </c>
      <c r="L16" s="62" t="s">
        <v>250</v>
      </c>
      <c r="M16" s="62" t="s">
        <v>249</v>
      </c>
      <c r="N16" s="62" t="s">
        <v>262</v>
      </c>
      <c r="O16" s="62" t="s">
        <v>263</v>
      </c>
      <c r="P16" s="62" t="s">
        <v>245</v>
      </c>
      <c r="Q16" s="62" t="s">
        <v>247</v>
      </c>
      <c r="R16" s="62" t="s">
        <v>246</v>
      </c>
      <c r="S16" s="62" t="s">
        <v>248</v>
      </c>
      <c r="T16" s="62" t="s">
        <v>466</v>
      </c>
      <c r="U16" s="62" t="s">
        <v>526</v>
      </c>
      <c r="V16" s="62" t="s">
        <v>264</v>
      </c>
      <c r="W16" s="62" t="s">
        <v>277</v>
      </c>
      <c r="Y16" s="62"/>
      <c r="AB16" s="756"/>
      <c r="AC16" s="734"/>
      <c r="AD16" s="49"/>
    </row>
    <row r="17" spans="2:30" x14ac:dyDescent="0.2">
      <c r="B17" s="48"/>
      <c r="C17" s="748"/>
      <c r="E17" s="29" t="s">
        <v>272</v>
      </c>
      <c r="F17" s="100">
        <f>'Dateneingabe Mobilitäten'!G11</f>
        <v>0</v>
      </c>
      <c r="G17" s="100">
        <f>'Dateneingabe Mobilitäten'!H11</f>
        <v>0</v>
      </c>
      <c r="H17" s="1">
        <f t="shared" si="2"/>
        <v>0</v>
      </c>
      <c r="J17" s="29" t="s">
        <v>385</v>
      </c>
      <c r="K17" s="106">
        <f>MAX(0,J18)</f>
        <v>0</v>
      </c>
      <c r="M17" s="83">
        <f>'Dateneingabe Mobilitäten'!O11</f>
        <v>0</v>
      </c>
      <c r="Q17" s="83">
        <f>'Dateneingabe Mobilitäten'!S11</f>
        <v>0</v>
      </c>
      <c r="S17" s="83">
        <f>'Dateneingabe Mobilitäten'!U11</f>
        <v>0</v>
      </c>
      <c r="T17" s="7">
        <f>'Dateneingabe Mobilitäten'!V11</f>
        <v>0</v>
      </c>
      <c r="U17" s="7">
        <f>'Dateneingabe Mobilitäten'!W11</f>
        <v>0</v>
      </c>
      <c r="AB17" s="756"/>
      <c r="AC17" s="734"/>
      <c r="AD17" s="49"/>
    </row>
    <row r="18" spans="2:30" ht="13.5" thickBot="1" x14ac:dyDescent="0.25">
      <c r="B18" s="48"/>
      <c r="C18" s="749"/>
      <c r="D18" s="34"/>
      <c r="E18" s="36" t="s">
        <v>112</v>
      </c>
      <c r="F18" s="101">
        <f>'Dateneingabe Mobilitäten'!G12</f>
        <v>0</v>
      </c>
      <c r="G18" s="101">
        <f>'Dateneingabe Mobilitäten'!H12</f>
        <v>0</v>
      </c>
      <c r="H18" s="102">
        <f t="shared" si="2"/>
        <v>0</v>
      </c>
      <c r="I18" s="85"/>
      <c r="J18" s="86">
        <f>X18-H18</f>
        <v>0</v>
      </c>
      <c r="K18" s="34"/>
      <c r="L18" s="99">
        <f>O12</f>
        <v>0</v>
      </c>
      <c r="M18" s="99">
        <f>M17*-1</f>
        <v>0</v>
      </c>
      <c r="N18" s="99"/>
      <c r="O18" s="99"/>
      <c r="P18" s="99">
        <f>O27</f>
        <v>0</v>
      </c>
      <c r="Q18" s="99">
        <f>Q17*-1</f>
        <v>0</v>
      </c>
      <c r="R18" s="99">
        <f>O32</f>
        <v>0</v>
      </c>
      <c r="S18" s="99">
        <f>S17*-1</f>
        <v>0</v>
      </c>
      <c r="T18" s="99">
        <f t="shared" ref="T18" si="3">T17*-1</f>
        <v>0</v>
      </c>
      <c r="U18" s="99">
        <f t="shared" ref="U18" si="4">U17*-1</f>
        <v>0</v>
      </c>
      <c r="V18" s="99">
        <f>O49</f>
        <v>0</v>
      </c>
      <c r="W18" s="99">
        <f>O61+O65+O69+O73+O77+O81</f>
        <v>0</v>
      </c>
      <c r="X18" s="99">
        <f>'Dateneingabe Mobilitäten'!F12</f>
        <v>0</v>
      </c>
      <c r="Y18" s="99">
        <f>SUM('Dateneingabe Mobilitäten'!N12:AA12)</f>
        <v>0</v>
      </c>
      <c r="Z18" s="102">
        <f>'Dateneingabe Mobilitäten'!AB9</f>
        <v>0</v>
      </c>
      <c r="AA18" s="107">
        <f>Z18-H18</f>
        <v>0</v>
      </c>
      <c r="AB18" s="757"/>
      <c r="AC18" s="735"/>
      <c r="AD18" s="49"/>
    </row>
    <row r="19" spans="2:30" ht="13.5" thickBot="1" x14ac:dyDescent="0.25">
      <c r="B19" s="48"/>
      <c r="AA19" s="7"/>
      <c r="AD19" s="50"/>
    </row>
    <row r="20" spans="2:30" x14ac:dyDescent="0.2">
      <c r="B20" s="48"/>
      <c r="C20" s="759" t="s">
        <v>267</v>
      </c>
      <c r="D20" s="109"/>
      <c r="E20" s="110" t="s">
        <v>252</v>
      </c>
      <c r="F20" s="109">
        <f>F10+F15</f>
        <v>0</v>
      </c>
      <c r="G20" s="109">
        <f>G10+G15</f>
        <v>0</v>
      </c>
      <c r="H20" s="109">
        <f>H10+H15</f>
        <v>0</v>
      </c>
      <c r="I20" s="109"/>
      <c r="J20" s="109"/>
      <c r="K20" s="109"/>
      <c r="L20" s="109"/>
      <c r="M20" s="109"/>
      <c r="N20" s="109"/>
      <c r="O20" s="111" t="s">
        <v>268</v>
      </c>
      <c r="P20" s="110"/>
      <c r="Q20" s="110"/>
      <c r="R20" s="110"/>
      <c r="S20" s="111" t="s">
        <v>269</v>
      </c>
      <c r="T20" s="111" t="s">
        <v>466</v>
      </c>
      <c r="U20" s="111" t="s">
        <v>526</v>
      </c>
      <c r="V20" s="110"/>
      <c r="W20" s="111"/>
      <c r="X20" s="109">
        <f>X10+X15</f>
        <v>0</v>
      </c>
      <c r="Y20" s="111"/>
      <c r="Z20" s="109"/>
      <c r="AA20" s="112">
        <f>H20-X20</f>
        <v>0</v>
      </c>
      <c r="AB20" s="761">
        <f>'Dateneingabe Mobilitäten'!AD14</f>
        <v>0</v>
      </c>
      <c r="AC20" s="763">
        <f>'Dateneingabe Mobilitäten'!AE14</f>
        <v>0</v>
      </c>
      <c r="AD20" s="49"/>
    </row>
    <row r="21" spans="2:30" ht="13.5" thickBot="1" x14ac:dyDescent="0.25">
      <c r="B21" s="48"/>
      <c r="C21" s="760"/>
      <c r="D21" s="113"/>
      <c r="E21" s="114" t="s">
        <v>112</v>
      </c>
      <c r="F21" s="115">
        <f t="shared" ref="F21:H21" si="5">F13+F18</f>
        <v>0</v>
      </c>
      <c r="G21" s="115">
        <f t="shared" si="5"/>
        <v>0</v>
      </c>
      <c r="H21" s="115">
        <f t="shared" si="5"/>
        <v>0</v>
      </c>
      <c r="I21" s="113"/>
      <c r="J21" s="113"/>
      <c r="K21" s="113"/>
      <c r="L21" s="115"/>
      <c r="M21" s="113"/>
      <c r="N21" s="113"/>
      <c r="O21" s="115">
        <f>M27+O27+M32+O32+M49+O49+N55+P55+M61+O61+M65+O65+M69+O69+M73+O73+M77+O77</f>
        <v>0</v>
      </c>
      <c r="P21" s="115"/>
      <c r="Q21" s="113"/>
      <c r="R21" s="116" t="str">
        <f>IF((S21*-1)&gt;(X21*0.1),"Umschichtung maximal 10% ("&amp;TEXT(X21*0.1,"#.##0,00")&amp;")","")</f>
        <v/>
      </c>
      <c r="S21" s="115">
        <f>Q13+S13+Q18+S18</f>
        <v>0</v>
      </c>
      <c r="T21" s="115">
        <f>T13+T18</f>
        <v>0</v>
      </c>
      <c r="U21" s="115">
        <f>U13+U18</f>
        <v>0</v>
      </c>
      <c r="V21" s="115"/>
      <c r="W21" s="115"/>
      <c r="X21" s="115">
        <f>X13+X18</f>
        <v>0</v>
      </c>
      <c r="Y21" s="115">
        <f>Y13+Y18</f>
        <v>0</v>
      </c>
      <c r="Z21" s="115">
        <f>Z13+Z18</f>
        <v>0</v>
      </c>
      <c r="AA21" s="115">
        <f>Z21-H21</f>
        <v>0</v>
      </c>
      <c r="AB21" s="762"/>
      <c r="AC21" s="764"/>
      <c r="AD21" s="49"/>
    </row>
    <row r="22" spans="2:30" ht="7.5" customHeight="1" thickBot="1" x14ac:dyDescent="0.25">
      <c r="B22" s="51"/>
      <c r="C22" s="52"/>
      <c r="D22" s="52"/>
      <c r="E22" s="53"/>
      <c r="F22" s="52"/>
      <c r="G22" s="52"/>
      <c r="H22" s="52"/>
      <c r="I22" s="52"/>
      <c r="J22" s="52"/>
      <c r="K22" s="52"/>
      <c r="L22" s="52"/>
      <c r="M22" s="52"/>
      <c r="N22" s="52"/>
      <c r="O22" s="52"/>
      <c r="P22" s="52"/>
      <c r="Q22" s="52"/>
      <c r="R22" s="52"/>
      <c r="S22" s="52"/>
      <c r="T22" s="52"/>
      <c r="U22" s="52"/>
      <c r="V22" s="52"/>
      <c r="W22" s="52"/>
      <c r="X22" s="52"/>
      <c r="Y22" s="52"/>
      <c r="Z22" s="52"/>
      <c r="AA22" s="54"/>
      <c r="AB22" s="52"/>
      <c r="AC22" s="52"/>
      <c r="AD22" s="55"/>
    </row>
    <row r="23" spans="2:30" ht="14.25" thickTop="1" thickBot="1" x14ac:dyDescent="0.25">
      <c r="AA23" s="7"/>
    </row>
    <row r="24" spans="2:30" ht="7.5" customHeight="1" thickTop="1" thickBot="1" x14ac:dyDescent="0.25">
      <c r="B24" s="56"/>
      <c r="C24" s="57"/>
      <c r="D24" s="57"/>
      <c r="E24" s="58"/>
      <c r="F24" s="57"/>
      <c r="G24" s="57"/>
      <c r="H24" s="57"/>
      <c r="I24" s="57"/>
      <c r="J24" s="57"/>
      <c r="K24" s="57"/>
      <c r="L24" s="57"/>
      <c r="M24" s="57"/>
      <c r="N24" s="57"/>
      <c r="O24" s="57"/>
      <c r="P24" s="57"/>
      <c r="Q24" s="57"/>
      <c r="R24" s="57"/>
      <c r="S24" s="57"/>
      <c r="T24" s="57"/>
      <c r="U24" s="57"/>
      <c r="V24" s="57"/>
      <c r="W24" s="57"/>
      <c r="X24" s="57"/>
      <c r="Y24" s="57"/>
      <c r="Z24" s="57"/>
      <c r="AA24" s="57"/>
      <c r="AB24" s="57"/>
      <c r="AC24" s="57"/>
      <c r="AD24" s="59"/>
    </row>
    <row r="25" spans="2:30" x14ac:dyDescent="0.2">
      <c r="B25" s="48"/>
      <c r="C25" s="747" t="s">
        <v>2</v>
      </c>
      <c r="D25" s="31"/>
      <c r="E25" s="33" t="s">
        <v>252</v>
      </c>
      <c r="F25" s="82">
        <f>'Dateneingabe Mobilitäten'!G19</f>
        <v>0</v>
      </c>
      <c r="G25" s="82">
        <f>'Dateneingabe Mobilitäten'!H19</f>
        <v>0</v>
      </c>
      <c r="H25" s="31">
        <f>F25+G25</f>
        <v>0</v>
      </c>
      <c r="I25" s="31"/>
      <c r="J25" s="31"/>
      <c r="K25" s="31"/>
      <c r="L25" s="31"/>
      <c r="M25" s="31"/>
      <c r="N25" s="31"/>
      <c r="O25" s="31"/>
      <c r="P25" s="31"/>
      <c r="Q25" s="31"/>
      <c r="R25" s="31"/>
      <c r="S25" s="31"/>
      <c r="T25" s="31"/>
      <c r="U25" s="31"/>
      <c r="V25" s="31"/>
      <c r="W25" s="31"/>
      <c r="X25" s="31">
        <f>'Dateneingabe Mobilitäten'!F19</f>
        <v>0</v>
      </c>
      <c r="Y25" s="31"/>
      <c r="Z25" s="31"/>
      <c r="AA25" s="44">
        <f>H25-X25</f>
        <v>0</v>
      </c>
      <c r="AB25" s="736">
        <f>'Dateneingabe Mobilitäten'!AD19</f>
        <v>0</v>
      </c>
      <c r="AC25" s="739">
        <f>'Dateneingabe Mobilitäten'!AE19</f>
        <v>0</v>
      </c>
      <c r="AD25" s="49"/>
    </row>
    <row r="26" spans="2:30" x14ac:dyDescent="0.2">
      <c r="B26" s="48"/>
      <c r="C26" s="748"/>
      <c r="E26" s="29" t="s">
        <v>271</v>
      </c>
      <c r="F26" s="100">
        <f>'Dateneingabe Mobilitäten'!G20</f>
        <v>0</v>
      </c>
      <c r="G26" s="100">
        <f>'Dateneingabe Mobilitäten'!H20</f>
        <v>0</v>
      </c>
      <c r="H26" s="1">
        <f t="shared" ref="H26:H28" si="6">F26+G26</f>
        <v>0</v>
      </c>
      <c r="K26" s="62" t="s">
        <v>386</v>
      </c>
      <c r="L26" s="62" t="s">
        <v>250</v>
      </c>
      <c r="M26" s="62" t="s">
        <v>249</v>
      </c>
      <c r="N26" s="62" t="s">
        <v>262</v>
      </c>
      <c r="O26" s="62" t="s">
        <v>263</v>
      </c>
      <c r="P26" s="62" t="s">
        <v>245</v>
      </c>
      <c r="Q26" s="62" t="s">
        <v>247</v>
      </c>
      <c r="R26" s="62" t="s">
        <v>246</v>
      </c>
      <c r="S26" s="62" t="s">
        <v>248</v>
      </c>
      <c r="T26" s="62" t="s">
        <v>466</v>
      </c>
      <c r="U26" s="62" t="s">
        <v>526</v>
      </c>
      <c r="V26" s="62" t="s">
        <v>264</v>
      </c>
      <c r="W26" s="62" t="s">
        <v>277</v>
      </c>
      <c r="Y26" s="62"/>
      <c r="AB26" s="737"/>
      <c r="AC26" s="740"/>
      <c r="AD26" s="49"/>
    </row>
    <row r="27" spans="2:30" x14ac:dyDescent="0.2">
      <c r="B27" s="48"/>
      <c r="C27" s="748"/>
      <c r="E27" s="29" t="s">
        <v>272</v>
      </c>
      <c r="F27" s="100">
        <f>'Dateneingabe Mobilitäten'!G21</f>
        <v>0</v>
      </c>
      <c r="G27" s="100">
        <f>'Dateneingabe Mobilitäten'!H21</f>
        <v>0</v>
      </c>
      <c r="H27" s="1">
        <f t="shared" si="6"/>
        <v>0</v>
      </c>
      <c r="J27" s="29" t="s">
        <v>385</v>
      </c>
      <c r="K27" s="106">
        <f>MAX(0,J28)</f>
        <v>0</v>
      </c>
      <c r="M27" s="83">
        <f>'Dateneingabe Mobilitäten'!O21</f>
        <v>0</v>
      </c>
      <c r="O27" s="83">
        <f>'Dateneingabe Mobilitäten'!Q21</f>
        <v>0</v>
      </c>
      <c r="S27" s="83">
        <f>'Dateneingabe Mobilitäten'!U21</f>
        <v>0</v>
      </c>
      <c r="T27" s="7">
        <f>'Dateneingabe Mobilitäten'!V21</f>
        <v>0</v>
      </c>
      <c r="U27" s="7">
        <f>'Dateneingabe Mobilitäten'!W21</f>
        <v>0</v>
      </c>
      <c r="AB27" s="737"/>
      <c r="AC27" s="740"/>
      <c r="AD27" s="49"/>
    </row>
    <row r="28" spans="2:30" ht="13.5" thickBot="1" x14ac:dyDescent="0.25">
      <c r="B28" s="48"/>
      <c r="C28" s="749"/>
      <c r="D28" s="34"/>
      <c r="E28" s="36" t="s">
        <v>112</v>
      </c>
      <c r="F28" s="101">
        <f>'Dateneingabe Mobilitäten'!G22</f>
        <v>0</v>
      </c>
      <c r="G28" s="101">
        <f>'Dateneingabe Mobilitäten'!H22</f>
        <v>0</v>
      </c>
      <c r="H28" s="102">
        <f t="shared" si="6"/>
        <v>0</v>
      </c>
      <c r="I28" s="85"/>
      <c r="J28" s="86">
        <f>X28-H28</f>
        <v>0</v>
      </c>
      <c r="K28" s="34"/>
      <c r="L28" s="99">
        <f>Q12</f>
        <v>0</v>
      </c>
      <c r="M28" s="99">
        <f>M27*-1</f>
        <v>0</v>
      </c>
      <c r="N28" s="99">
        <f>Q17</f>
        <v>0</v>
      </c>
      <c r="O28" s="99">
        <f>O27*-1</f>
        <v>0</v>
      </c>
      <c r="P28" s="99"/>
      <c r="Q28" s="99"/>
      <c r="R28" s="99">
        <f>Q32</f>
        <v>0</v>
      </c>
      <c r="S28" s="99">
        <f>S27*-1</f>
        <v>0</v>
      </c>
      <c r="T28" s="99">
        <f t="shared" ref="T28" si="7">T27*-1</f>
        <v>0</v>
      </c>
      <c r="U28" s="99">
        <f t="shared" ref="U28" si="8">U27*-1</f>
        <v>0</v>
      </c>
      <c r="V28" s="99">
        <f>Q49</f>
        <v>0</v>
      </c>
      <c r="W28" s="99">
        <f>Q61+Q65+Q69+Q73+Q77+Q81</f>
        <v>0</v>
      </c>
      <c r="X28" s="99">
        <f>'Dateneingabe Mobilitäten'!F22</f>
        <v>0</v>
      </c>
      <c r="Y28" s="99">
        <f>SUM('Dateneingabe Mobilitäten'!N22:AA22)</f>
        <v>0</v>
      </c>
      <c r="Z28" s="102">
        <f>'Dateneingabe Mobilitäten'!AB19</f>
        <v>0</v>
      </c>
      <c r="AA28" s="107">
        <f>Z28-H28</f>
        <v>0</v>
      </c>
      <c r="AB28" s="738"/>
      <c r="AC28" s="741"/>
      <c r="AD28" s="49"/>
    </row>
    <row r="29" spans="2:30" ht="13.5" thickBot="1" x14ac:dyDescent="0.25">
      <c r="B29" s="48"/>
      <c r="AB29" s="38"/>
      <c r="AC29" s="38"/>
      <c r="AD29" s="49"/>
    </row>
    <row r="30" spans="2:30" x14ac:dyDescent="0.2">
      <c r="B30" s="48"/>
      <c r="C30" s="747" t="s">
        <v>3</v>
      </c>
      <c r="D30" s="31"/>
      <c r="E30" s="33" t="s">
        <v>252</v>
      </c>
      <c r="F30" s="82">
        <f>'Dateneingabe Mobilitäten'!G24</f>
        <v>0</v>
      </c>
      <c r="G30" s="82">
        <f>'Dateneingabe Mobilitäten'!H24</f>
        <v>0</v>
      </c>
      <c r="H30" s="31">
        <f>F30+G30</f>
        <v>0</v>
      </c>
      <c r="I30" s="31"/>
      <c r="J30" s="31"/>
      <c r="K30" s="31"/>
      <c r="L30" s="31"/>
      <c r="M30" s="31"/>
      <c r="N30" s="31"/>
      <c r="O30" s="31"/>
      <c r="P30" s="31"/>
      <c r="Q30" s="31"/>
      <c r="R30" s="31"/>
      <c r="S30" s="31"/>
      <c r="T30" s="31"/>
      <c r="U30" s="31"/>
      <c r="V30" s="31"/>
      <c r="W30" s="31"/>
      <c r="X30" s="31">
        <f>'Dateneingabe Mobilitäten'!F24</f>
        <v>0</v>
      </c>
      <c r="Y30" s="31"/>
      <c r="Z30" s="31"/>
      <c r="AA30" s="44">
        <f>H30-X30</f>
        <v>0</v>
      </c>
      <c r="AB30" s="736">
        <f>'Dateneingabe Mobilitäten'!AD24</f>
        <v>0</v>
      </c>
      <c r="AC30" s="739">
        <f>'Dateneingabe Mobilitäten'!AE24</f>
        <v>0</v>
      </c>
      <c r="AD30" s="49"/>
    </row>
    <row r="31" spans="2:30" x14ac:dyDescent="0.2">
      <c r="B31" s="48"/>
      <c r="C31" s="748"/>
      <c r="E31" s="29" t="s">
        <v>271</v>
      </c>
      <c r="F31" s="100">
        <f>'Dateneingabe Mobilitäten'!G25</f>
        <v>0</v>
      </c>
      <c r="G31" s="100">
        <f>'Dateneingabe Mobilitäten'!H25</f>
        <v>0</v>
      </c>
      <c r="H31" s="1">
        <f t="shared" ref="H31:H33" si="9">F31+G31</f>
        <v>0</v>
      </c>
      <c r="K31" s="62" t="s">
        <v>386</v>
      </c>
      <c r="L31" s="62" t="s">
        <v>250</v>
      </c>
      <c r="M31" s="62" t="s">
        <v>249</v>
      </c>
      <c r="N31" s="62" t="s">
        <v>262</v>
      </c>
      <c r="O31" s="62" t="s">
        <v>263</v>
      </c>
      <c r="P31" s="62" t="s">
        <v>245</v>
      </c>
      <c r="Q31" s="62" t="s">
        <v>247</v>
      </c>
      <c r="R31" s="62" t="s">
        <v>246</v>
      </c>
      <c r="S31" s="62" t="s">
        <v>248</v>
      </c>
      <c r="T31" s="62" t="s">
        <v>466</v>
      </c>
      <c r="U31" s="62" t="s">
        <v>526</v>
      </c>
      <c r="V31" s="62" t="s">
        <v>264</v>
      </c>
      <c r="W31" s="62" t="s">
        <v>277</v>
      </c>
      <c r="Y31" s="62"/>
      <c r="AB31" s="737"/>
      <c r="AC31" s="740"/>
      <c r="AD31" s="49"/>
    </row>
    <row r="32" spans="2:30" x14ac:dyDescent="0.2">
      <c r="B32" s="48"/>
      <c r="C32" s="748"/>
      <c r="E32" s="29" t="s">
        <v>272</v>
      </c>
      <c r="F32" s="100">
        <f>'Dateneingabe Mobilitäten'!G26</f>
        <v>0</v>
      </c>
      <c r="G32" s="100">
        <f>'Dateneingabe Mobilitäten'!H26</f>
        <v>0</v>
      </c>
      <c r="H32" s="1">
        <f t="shared" si="9"/>
        <v>0</v>
      </c>
      <c r="J32" s="29" t="s">
        <v>385</v>
      </c>
      <c r="K32" s="106">
        <f>MAX(0,J33)</f>
        <v>0</v>
      </c>
      <c r="M32" s="83">
        <f>'Dateneingabe Mobilitäten'!O26</f>
        <v>0</v>
      </c>
      <c r="O32" s="83">
        <f>'Dateneingabe Mobilitäten'!Q26</f>
        <v>0</v>
      </c>
      <c r="Q32" s="83">
        <f>'Dateneingabe Mobilitäten'!S26</f>
        <v>0</v>
      </c>
      <c r="T32" s="7">
        <f>'Dateneingabe Mobilitäten'!V26</f>
        <v>0</v>
      </c>
      <c r="U32" s="7">
        <f>'Dateneingabe Mobilitäten'!W26</f>
        <v>0</v>
      </c>
      <c r="AB32" s="737"/>
      <c r="AC32" s="740"/>
      <c r="AD32" s="49"/>
    </row>
    <row r="33" spans="2:30" ht="13.5" thickBot="1" x14ac:dyDescent="0.25">
      <c r="B33" s="48"/>
      <c r="C33" s="749"/>
      <c r="D33" s="34"/>
      <c r="E33" s="36" t="s">
        <v>112</v>
      </c>
      <c r="F33" s="101">
        <f>'Dateneingabe Mobilitäten'!G27</f>
        <v>0</v>
      </c>
      <c r="G33" s="101">
        <f>'Dateneingabe Mobilitäten'!H27</f>
        <v>0</v>
      </c>
      <c r="H33" s="102">
        <f t="shared" si="9"/>
        <v>0</v>
      </c>
      <c r="I33" s="85"/>
      <c r="J33" s="86">
        <f>X33-H33</f>
        <v>0</v>
      </c>
      <c r="K33" s="34"/>
      <c r="L33" s="99">
        <f>S12</f>
        <v>0</v>
      </c>
      <c r="M33" s="99">
        <f>M32*-1</f>
        <v>0</v>
      </c>
      <c r="N33" s="99">
        <f>S17</f>
        <v>0</v>
      </c>
      <c r="O33" s="99">
        <f>O32*-1</f>
        <v>0</v>
      </c>
      <c r="P33" s="99">
        <f>S27</f>
        <v>0</v>
      </c>
      <c r="Q33" s="99">
        <f>Q32*-1</f>
        <v>0</v>
      </c>
      <c r="R33" s="99"/>
      <c r="S33" s="99"/>
      <c r="T33" s="99">
        <f t="shared" ref="T33" si="10">T32*-1</f>
        <v>0</v>
      </c>
      <c r="U33" s="99">
        <f t="shared" ref="U33" si="11">U32*-1</f>
        <v>0</v>
      </c>
      <c r="V33" s="99">
        <f>S49</f>
        <v>0</v>
      </c>
      <c r="W33" s="99">
        <f>S61+S65+S69+S73+S77+S81</f>
        <v>0</v>
      </c>
      <c r="X33" s="99">
        <f>'Dateneingabe Mobilitäten'!F27</f>
        <v>0</v>
      </c>
      <c r="Y33" s="99">
        <f>SUM('Dateneingabe Mobilitäten'!N27:AA27)</f>
        <v>0</v>
      </c>
      <c r="Z33" s="102">
        <f>'Dateneingabe Mobilitäten'!AB24</f>
        <v>0</v>
      </c>
      <c r="AA33" s="107">
        <f>Z33-H33</f>
        <v>0</v>
      </c>
      <c r="AB33" s="738"/>
      <c r="AC33" s="741"/>
      <c r="AD33" s="49"/>
    </row>
    <row r="34" spans="2:30" ht="13.5" thickBot="1" x14ac:dyDescent="0.25">
      <c r="B34" s="48"/>
      <c r="F34" s="7"/>
      <c r="G34" s="7"/>
      <c r="L34" s="7"/>
      <c r="M34" s="7"/>
      <c r="N34" s="7"/>
      <c r="O34" s="7"/>
      <c r="P34" s="7"/>
      <c r="Q34" s="7"/>
      <c r="R34" s="7"/>
      <c r="S34" s="7"/>
      <c r="T34" s="7"/>
      <c r="U34" s="7"/>
      <c r="V34" s="7"/>
      <c r="W34" s="7"/>
      <c r="X34" s="7"/>
      <c r="Y34" s="7"/>
      <c r="Z34" s="7"/>
      <c r="AA34" s="7"/>
      <c r="AD34" s="49"/>
    </row>
    <row r="35" spans="2:30" x14ac:dyDescent="0.2">
      <c r="B35" s="48"/>
      <c r="C35" s="759" t="s">
        <v>270</v>
      </c>
      <c r="D35" s="109"/>
      <c r="E35" s="110" t="s">
        <v>252</v>
      </c>
      <c r="F35" s="109">
        <f t="shared" ref="F35:H35" si="12">F25+F30</f>
        <v>0</v>
      </c>
      <c r="G35" s="109">
        <f t="shared" si="12"/>
        <v>0</v>
      </c>
      <c r="H35" s="109">
        <f t="shared" si="12"/>
        <v>0</v>
      </c>
      <c r="I35" s="109"/>
      <c r="J35" s="109"/>
      <c r="K35" s="109"/>
      <c r="L35" s="109"/>
      <c r="M35" s="109"/>
      <c r="N35" s="109"/>
      <c r="O35" s="111" t="s">
        <v>268</v>
      </c>
      <c r="P35" s="110"/>
      <c r="Q35" s="110"/>
      <c r="R35" s="110"/>
      <c r="S35" s="111" t="s">
        <v>269</v>
      </c>
      <c r="T35" s="111" t="s">
        <v>466</v>
      </c>
      <c r="U35" s="111" t="s">
        <v>526</v>
      </c>
      <c r="V35" s="110"/>
      <c r="W35" s="111"/>
      <c r="X35" s="109">
        <f>X25+X30</f>
        <v>0</v>
      </c>
      <c r="Y35" s="111"/>
      <c r="Z35" s="109"/>
      <c r="AA35" s="112">
        <f>H35-X35</f>
        <v>0</v>
      </c>
      <c r="AB35" s="761">
        <f>'Dateneingabe Mobilitäten'!AD29</f>
        <v>0</v>
      </c>
      <c r="AC35" s="763">
        <f>'Dateneingabe Mobilitäten'!AE29</f>
        <v>0</v>
      </c>
      <c r="AD35" s="49"/>
    </row>
    <row r="36" spans="2:30" ht="13.5" thickBot="1" x14ac:dyDescent="0.25">
      <c r="B36" s="48"/>
      <c r="C36" s="760"/>
      <c r="D36" s="113"/>
      <c r="E36" s="114" t="s">
        <v>112</v>
      </c>
      <c r="F36" s="115">
        <f t="shared" ref="F36:H36" si="13">F28+F33</f>
        <v>0</v>
      </c>
      <c r="G36" s="115">
        <f t="shared" si="13"/>
        <v>0</v>
      </c>
      <c r="H36" s="115">
        <f t="shared" si="13"/>
        <v>0</v>
      </c>
      <c r="I36" s="113"/>
      <c r="J36" s="113"/>
      <c r="K36" s="113"/>
      <c r="L36" s="115"/>
      <c r="M36" s="113"/>
      <c r="N36" s="113"/>
      <c r="O36" s="115">
        <f>M28+O28+M33+O33</f>
        <v>0</v>
      </c>
      <c r="P36" s="115"/>
      <c r="Q36" s="113"/>
      <c r="R36" s="116"/>
      <c r="S36" s="115">
        <f>'Dateneingabe Mobilitäten'!U30</f>
        <v>0</v>
      </c>
      <c r="T36" s="115">
        <f>'Dateneingabe Mobilitäten'!V30</f>
        <v>0</v>
      </c>
      <c r="U36" s="115">
        <f>'Dateneingabe Mobilitäten'!W30</f>
        <v>0</v>
      </c>
      <c r="V36" s="115"/>
      <c r="W36" s="115"/>
      <c r="X36" s="115">
        <f>X28+X33</f>
        <v>0</v>
      </c>
      <c r="Y36" s="115">
        <f>Y28+Y33</f>
        <v>0</v>
      </c>
      <c r="Z36" s="115">
        <f>Z28+Z33</f>
        <v>0</v>
      </c>
      <c r="AA36" s="115">
        <f>Z36-H36</f>
        <v>0</v>
      </c>
      <c r="AB36" s="762"/>
      <c r="AC36" s="764"/>
      <c r="AD36" s="49"/>
    </row>
    <row r="37" spans="2:30" ht="7.5" customHeight="1" thickBot="1" x14ac:dyDescent="0.25">
      <c r="B37" s="51"/>
      <c r="C37" s="52"/>
      <c r="D37" s="52"/>
      <c r="E37" s="53"/>
      <c r="F37" s="54"/>
      <c r="G37" s="54"/>
      <c r="H37" s="52"/>
      <c r="I37" s="52"/>
      <c r="J37" s="52"/>
      <c r="K37" s="52"/>
      <c r="L37" s="54"/>
      <c r="M37" s="54"/>
      <c r="N37" s="54"/>
      <c r="O37" s="54"/>
      <c r="P37" s="54"/>
      <c r="Q37" s="54"/>
      <c r="R37" s="54"/>
      <c r="S37" s="54"/>
      <c r="T37" s="54"/>
      <c r="U37" s="54"/>
      <c r="V37" s="54"/>
      <c r="W37" s="54"/>
      <c r="X37" s="54"/>
      <c r="Y37" s="54"/>
      <c r="Z37" s="54"/>
      <c r="AA37" s="54"/>
      <c r="AB37" s="52"/>
      <c r="AC37" s="52"/>
      <c r="AD37" s="55"/>
    </row>
    <row r="38" spans="2:30" ht="14.25" thickTop="1" thickBot="1" x14ac:dyDescent="0.25">
      <c r="F38" s="7"/>
      <c r="G38" s="7"/>
      <c r="H38" s="7"/>
      <c r="L38" s="7"/>
      <c r="M38" s="7"/>
      <c r="N38" s="7"/>
      <c r="O38" s="7"/>
      <c r="P38" s="7"/>
      <c r="Q38" s="7"/>
      <c r="R38" s="7"/>
      <c r="S38" s="7"/>
      <c r="T38" s="7"/>
      <c r="U38" s="7"/>
      <c r="V38" s="7"/>
      <c r="W38" s="7"/>
      <c r="X38" s="7"/>
      <c r="Y38" s="7"/>
      <c r="Z38" s="7"/>
      <c r="AA38" s="7">
        <f>AA13+AA18+AA28+AA33</f>
        <v>0</v>
      </c>
      <c r="AB38" s="7"/>
    </row>
    <row r="39" spans="2:30" ht="7.5" customHeight="1" thickTop="1" thickBot="1" x14ac:dyDescent="0.25">
      <c r="B39" s="56"/>
      <c r="C39" s="57"/>
      <c r="D39" s="57"/>
      <c r="E39" s="58"/>
      <c r="F39" s="61"/>
      <c r="G39" s="61"/>
      <c r="H39" s="57"/>
      <c r="I39" s="57"/>
      <c r="J39" s="57"/>
      <c r="K39" s="57"/>
      <c r="L39" s="61"/>
      <c r="M39" s="61"/>
      <c r="N39" s="61"/>
      <c r="O39" s="61"/>
      <c r="P39" s="61"/>
      <c r="Q39" s="61"/>
      <c r="R39" s="61"/>
      <c r="S39" s="61"/>
      <c r="T39" s="61"/>
      <c r="U39" s="61"/>
      <c r="V39" s="61"/>
      <c r="W39" s="61"/>
      <c r="X39" s="61"/>
      <c r="Y39" s="61"/>
      <c r="Z39" s="61"/>
      <c r="AA39" s="61"/>
      <c r="AB39" s="57"/>
      <c r="AC39" s="57"/>
      <c r="AD39" s="59"/>
    </row>
    <row r="40" spans="2:30" x14ac:dyDescent="0.2">
      <c r="B40" s="48"/>
      <c r="C40" s="451" t="s">
        <v>261</v>
      </c>
      <c r="D40" s="31"/>
      <c r="E40" s="33" t="s">
        <v>252</v>
      </c>
      <c r="F40" s="82">
        <f>'Dateneingabe Mobilitäten'!G34</f>
        <v>0</v>
      </c>
      <c r="G40" s="449"/>
      <c r="H40" s="31">
        <f>F40+G40</f>
        <v>0</v>
      </c>
      <c r="I40" s="31"/>
      <c r="J40" s="31"/>
      <c r="K40" s="31"/>
      <c r="L40" s="63" t="s">
        <v>250</v>
      </c>
      <c r="M40" s="31"/>
      <c r="N40" s="31" t="s">
        <v>551</v>
      </c>
      <c r="O40" s="63"/>
      <c r="P40" s="31" t="s">
        <v>245</v>
      </c>
      <c r="Q40" s="31"/>
      <c r="R40" s="31" t="s">
        <v>246</v>
      </c>
      <c r="S40" s="31"/>
      <c r="T40" s="31"/>
      <c r="U40" s="31"/>
      <c r="V40" s="31" t="s">
        <v>264</v>
      </c>
      <c r="W40" s="31" t="s">
        <v>277</v>
      </c>
      <c r="X40" s="31"/>
      <c r="Y40" s="31"/>
      <c r="Z40" s="43"/>
      <c r="AA40" s="31"/>
      <c r="AB40" s="744"/>
      <c r="AC40" s="742">
        <f>'Dateneingabe Mobilitäten'!AE34</f>
        <v>0</v>
      </c>
      <c r="AD40" s="49"/>
    </row>
    <row r="41" spans="2:30" ht="13.5" thickBot="1" x14ac:dyDescent="0.25">
      <c r="B41" s="48"/>
      <c r="C41" s="452" t="s">
        <v>954</v>
      </c>
      <c r="D41" s="34"/>
      <c r="E41" s="36" t="s">
        <v>112</v>
      </c>
      <c r="F41" s="101">
        <f>'Dateneingabe Mobilitäten'!G35</f>
        <v>0</v>
      </c>
      <c r="G41" s="450"/>
      <c r="H41" s="102">
        <f>F41+G41</f>
        <v>0</v>
      </c>
      <c r="I41" s="34"/>
      <c r="J41" s="34"/>
      <c r="K41" s="34"/>
      <c r="L41" s="99">
        <f>'Dateneingabe Mobilitäten'!N38</f>
        <v>0</v>
      </c>
      <c r="M41" s="99"/>
      <c r="N41" s="99">
        <f>'Dateneingabe Mobilitäten'!P38</f>
        <v>0</v>
      </c>
      <c r="O41" s="99"/>
      <c r="P41" s="99">
        <f>'Dateneingabe Mobilitäten'!R38</f>
        <v>0</v>
      </c>
      <c r="Q41" s="99"/>
      <c r="R41" s="99">
        <f>'Dateneingabe Mobilitäten'!T38</f>
        <v>0</v>
      </c>
      <c r="S41" s="99"/>
      <c r="T41" s="99"/>
      <c r="U41" s="99"/>
      <c r="V41" s="99">
        <f>'Dateneingabe Mobilitäten'!X38</f>
        <v>0</v>
      </c>
      <c r="W41" s="99">
        <f>'Dateneingabe Mobilitäten'!Z38</f>
        <v>0</v>
      </c>
      <c r="X41" s="99">
        <f>'Dateneingabe Mobilitäten'!F35</f>
        <v>0</v>
      </c>
      <c r="Y41" s="454" t="s">
        <v>791</v>
      </c>
      <c r="Z41" s="455" t="s">
        <v>791</v>
      </c>
      <c r="AA41" s="99">
        <f>'Dateneingabe Mobilitäten'!AC37</f>
        <v>0</v>
      </c>
      <c r="AB41" s="745"/>
      <c r="AC41" s="743"/>
      <c r="AD41" s="49"/>
    </row>
    <row r="42" spans="2:30" ht="7.5" customHeight="1" thickBot="1" x14ac:dyDescent="0.25">
      <c r="B42" s="48"/>
      <c r="C42" s="235"/>
      <c r="F42" s="7"/>
      <c r="G42" s="7"/>
      <c r="H42" s="125"/>
      <c r="L42" s="7"/>
      <c r="M42" s="7"/>
      <c r="N42" s="7"/>
      <c r="O42" s="7"/>
      <c r="P42" s="7"/>
      <c r="Q42" s="7"/>
      <c r="R42" s="7"/>
      <c r="S42" s="7"/>
      <c r="T42" s="7"/>
      <c r="U42" s="7"/>
      <c r="V42" s="7"/>
      <c r="W42" s="7"/>
      <c r="X42" s="7"/>
      <c r="Y42" s="7"/>
      <c r="Z42" s="7"/>
      <c r="AA42" s="7"/>
      <c r="AB42" s="448"/>
      <c r="AC42" s="448"/>
      <c r="AD42" s="49"/>
    </row>
    <row r="43" spans="2:30" ht="12.75" customHeight="1" x14ac:dyDescent="0.2">
      <c r="B43" s="48"/>
      <c r="C43" s="451" t="s">
        <v>261</v>
      </c>
      <c r="D43" s="31"/>
      <c r="E43" s="33" t="s">
        <v>252</v>
      </c>
      <c r="F43" s="453">
        <f>'Dateneingabe Mobilitäten'!G37</f>
        <v>0</v>
      </c>
      <c r="G43" s="453">
        <f>'Dateneingabe Mobilitäten'!H37</f>
        <v>0</v>
      </c>
      <c r="H43" s="31">
        <f>F43+G43</f>
        <v>0</v>
      </c>
      <c r="I43" s="31"/>
      <c r="J43" s="31"/>
      <c r="K43" s="31"/>
      <c r="L43" s="63" t="s">
        <v>250</v>
      </c>
      <c r="M43" s="31"/>
      <c r="N43" s="31" t="s">
        <v>551</v>
      </c>
      <c r="O43" s="63"/>
      <c r="P43" s="31" t="s">
        <v>245</v>
      </c>
      <c r="Q43" s="31"/>
      <c r="R43" s="31" t="s">
        <v>246</v>
      </c>
      <c r="S43" s="31"/>
      <c r="T43" s="31"/>
      <c r="U43" s="31"/>
      <c r="V43" s="31" t="s">
        <v>264</v>
      </c>
      <c r="W43" s="31" t="s">
        <v>277</v>
      </c>
      <c r="X43" s="31"/>
      <c r="Y43" s="31"/>
      <c r="Z43" s="43"/>
      <c r="AA43" s="31"/>
      <c r="AB43" s="746" t="str">
        <f>'Dateneingabe Mobilitäten'!AD37</f>
        <v/>
      </c>
      <c r="AC43" s="746"/>
      <c r="AD43" s="49"/>
    </row>
    <row r="44" spans="2:30" ht="13.5" thickBot="1" x14ac:dyDescent="0.25">
      <c r="B44" s="48"/>
      <c r="C44" s="452" t="s">
        <v>790</v>
      </c>
      <c r="D44" s="34"/>
      <c r="E44" s="36" t="s">
        <v>112</v>
      </c>
      <c r="F44" s="101">
        <f>'Dateneingabe Mobilitäten'!G38</f>
        <v>0</v>
      </c>
      <c r="G44" s="101">
        <f>'Dateneingabe Mobilitäten'!H38</f>
        <v>0</v>
      </c>
      <c r="H44" s="102">
        <f>F44+G44</f>
        <v>0</v>
      </c>
      <c r="I44" s="34"/>
      <c r="J44" s="34"/>
      <c r="K44" s="34"/>
      <c r="L44" s="99">
        <f>'Dateneingabe Mobilitäten'!N41</f>
        <v>0</v>
      </c>
      <c r="M44" s="99"/>
      <c r="N44" s="99">
        <f>'Dateneingabe Mobilitäten'!P41</f>
        <v>0</v>
      </c>
      <c r="O44" s="99"/>
      <c r="P44" s="99">
        <f>'Dateneingabe Mobilitäten'!R41</f>
        <v>0</v>
      </c>
      <c r="Q44" s="99"/>
      <c r="R44" s="99">
        <f>'Dateneingabe Mobilitäten'!T41</f>
        <v>0</v>
      </c>
      <c r="S44" s="99"/>
      <c r="T44" s="99"/>
      <c r="U44" s="99"/>
      <c r="V44" s="99">
        <f>'Dateneingabe Mobilitäten'!X41</f>
        <v>0</v>
      </c>
      <c r="W44" s="99">
        <f>'Dateneingabe Mobilitäten'!Z41</f>
        <v>0</v>
      </c>
      <c r="X44" s="454" t="s">
        <v>791</v>
      </c>
      <c r="Y44" s="99">
        <f>SUM('Dateneingabe Mobilitäten'!N38:Z38)</f>
        <v>0</v>
      </c>
      <c r="Z44" s="314">
        <f>'Dateneingabe Mobilitäten'!AB37</f>
        <v>0</v>
      </c>
      <c r="AA44" s="99">
        <f>'Dateneingabe Mobilitäten'!AC40</f>
        <v>0</v>
      </c>
      <c r="AB44" s="746"/>
      <c r="AC44" s="746"/>
      <c r="AD44" s="49"/>
    </row>
    <row r="45" spans="2:30" ht="7.5" customHeight="1" thickBot="1" x14ac:dyDescent="0.25">
      <c r="B45" s="51"/>
      <c r="C45" s="52"/>
      <c r="D45" s="52"/>
      <c r="E45" s="53"/>
      <c r="F45" s="54"/>
      <c r="G45" s="54"/>
      <c r="H45" s="52"/>
      <c r="I45" s="52"/>
      <c r="J45" s="52"/>
      <c r="K45" s="52"/>
      <c r="L45" s="54"/>
      <c r="M45" s="54"/>
      <c r="N45" s="54"/>
      <c r="O45" s="54"/>
      <c r="P45" s="54"/>
      <c r="Q45" s="54"/>
      <c r="R45" s="54"/>
      <c r="S45" s="54"/>
      <c r="T45" s="54"/>
      <c r="U45" s="54"/>
      <c r="V45" s="54"/>
      <c r="W45" s="54"/>
      <c r="X45" s="54"/>
      <c r="Y45" s="54"/>
      <c r="Z45" s="54"/>
      <c r="AA45" s="54"/>
      <c r="AB45" s="52"/>
      <c r="AC45" s="52"/>
      <c r="AD45" s="55"/>
    </row>
    <row r="46" spans="2:30" ht="14.25" thickTop="1" thickBot="1" x14ac:dyDescent="0.25">
      <c r="F46" s="7"/>
      <c r="G46" s="7"/>
      <c r="L46" s="7"/>
      <c r="M46" s="7"/>
      <c r="N46" s="7"/>
      <c r="O46" s="7"/>
      <c r="P46" s="7"/>
      <c r="Q46" s="7"/>
      <c r="R46" s="7"/>
      <c r="S46" s="7"/>
      <c r="T46" s="7"/>
      <c r="U46" s="7"/>
      <c r="V46" s="7"/>
      <c r="W46" s="7"/>
      <c r="X46" s="7"/>
      <c r="Y46" s="7"/>
      <c r="Z46" s="7"/>
      <c r="AA46" s="7"/>
    </row>
    <row r="47" spans="2:30" ht="7.5" customHeight="1" thickTop="1" thickBot="1" x14ac:dyDescent="0.25">
      <c r="B47" s="56"/>
      <c r="C47" s="57"/>
      <c r="D47" s="57"/>
      <c r="E47" s="58"/>
      <c r="F47" s="57"/>
      <c r="G47" s="57"/>
      <c r="H47" s="57"/>
      <c r="I47" s="57"/>
      <c r="J47" s="57"/>
      <c r="K47" s="57"/>
      <c r="L47" s="57"/>
      <c r="M47" s="57"/>
      <c r="N47" s="57"/>
      <c r="O47" s="57"/>
      <c r="P47" s="57"/>
      <c r="Q47" s="57"/>
      <c r="R47" s="57"/>
      <c r="S47" s="57"/>
      <c r="T47" s="57"/>
      <c r="U47" s="57"/>
      <c r="V47" s="57"/>
      <c r="W47" s="57"/>
      <c r="X47" s="61"/>
      <c r="Y47" s="57"/>
      <c r="Z47" s="57"/>
      <c r="AA47" s="57"/>
      <c r="AB47" s="57"/>
      <c r="AC47" s="57"/>
      <c r="AD47" s="59"/>
    </row>
    <row r="48" spans="2:30" x14ac:dyDescent="0.2">
      <c r="B48" s="48"/>
      <c r="C48" s="747" t="s">
        <v>969</v>
      </c>
      <c r="D48" s="31"/>
      <c r="E48" s="33" t="s">
        <v>252</v>
      </c>
      <c r="F48" s="31">
        <f>F10+F15+F25+F30</f>
        <v>0</v>
      </c>
      <c r="G48" s="31">
        <f>G10+G15+G25+G30</f>
        <v>0</v>
      </c>
      <c r="H48" s="31">
        <f>F48+G48</f>
        <v>0</v>
      </c>
      <c r="I48" s="31"/>
      <c r="J48" s="31"/>
      <c r="K48" s="63" t="s">
        <v>386</v>
      </c>
      <c r="L48" s="63"/>
      <c r="M48" s="63" t="s">
        <v>249</v>
      </c>
      <c r="N48" s="63"/>
      <c r="O48" s="63" t="s">
        <v>263</v>
      </c>
      <c r="P48" s="63"/>
      <c r="Q48" s="63" t="s">
        <v>247</v>
      </c>
      <c r="R48" s="63"/>
      <c r="S48" s="63" t="s">
        <v>248</v>
      </c>
      <c r="T48" s="63" t="s">
        <v>466</v>
      </c>
      <c r="U48" s="63"/>
      <c r="V48" s="60"/>
      <c r="W48" s="60"/>
      <c r="X48" s="108">
        <f>'Dateneingabe Mobilitäten'!F45</f>
        <v>0</v>
      </c>
      <c r="Y48" s="60"/>
      <c r="Z48" s="43"/>
      <c r="AA48" s="43"/>
      <c r="AB48" s="736">
        <f>'Dateneingabe Mobilitäten'!AD45</f>
        <v>0</v>
      </c>
      <c r="AC48" s="736">
        <f>'Dateneingabe Mobilitäten'!AE45</f>
        <v>0</v>
      </c>
      <c r="AD48" s="49"/>
    </row>
    <row r="49" spans="2:30" x14ac:dyDescent="0.2">
      <c r="B49" s="48"/>
      <c r="C49" s="748"/>
      <c r="E49" s="29" t="s">
        <v>383</v>
      </c>
      <c r="G49" s="29" t="str">
        <f>IF(AND('Ausdruck 2'!H48&lt;OS!C8,'Ausdruck 2'!H48&gt;OS!C23),"10% Toleranz","")</f>
        <v/>
      </c>
      <c r="H49" s="7">
        <f>'Dateneingabe Mobilitäten'!I49</f>
        <v>0</v>
      </c>
      <c r="J49" s="29"/>
      <c r="K49" s="106">
        <f>MAX(0,H50)</f>
        <v>0</v>
      </c>
      <c r="M49" s="83">
        <f>'Dateneingabe Mobilitäten'!O51</f>
        <v>0</v>
      </c>
      <c r="O49" s="83">
        <f>'Dateneingabe Mobilitäten'!Q51</f>
        <v>0</v>
      </c>
      <c r="Q49" s="83">
        <f>'Dateneingabe Mobilitäten'!S51</f>
        <v>0</v>
      </c>
      <c r="S49" s="83">
        <f>'Dateneingabe Mobilitäten'!U51</f>
        <v>0</v>
      </c>
      <c r="T49" s="83">
        <f>'Dateneingabe Mobilitäten'!V51</f>
        <v>0</v>
      </c>
      <c r="U49" s="7"/>
      <c r="V49" s="7">
        <f>M49+O49+Q49+S49+T49</f>
        <v>0</v>
      </c>
      <c r="X49" s="7">
        <f>'Dateneingabe Mobilitäten'!F46</f>
        <v>0</v>
      </c>
      <c r="Z49" s="12"/>
      <c r="AA49" s="105">
        <f>H49-H50</f>
        <v>0</v>
      </c>
      <c r="AB49" s="737"/>
      <c r="AC49" s="737"/>
      <c r="AD49" s="49"/>
    </row>
    <row r="50" spans="2:30" x14ac:dyDescent="0.2">
      <c r="B50" s="48"/>
      <c r="C50" s="748"/>
      <c r="E50" s="29" t="s">
        <v>947</v>
      </c>
      <c r="G50" s="29"/>
      <c r="H50" s="125">
        <f>'Dateneingabe Mobilitäten'!I50</f>
        <v>0</v>
      </c>
      <c r="J50" s="29"/>
      <c r="K50" s="106"/>
      <c r="M50" s="7"/>
      <c r="O50" s="7"/>
      <c r="Q50" s="7"/>
      <c r="S50" s="7"/>
      <c r="T50" s="7"/>
      <c r="U50" s="7"/>
      <c r="V50" s="7"/>
      <c r="X50" s="7"/>
      <c r="Y50" s="7">
        <f>'Dateneingabe Mobilitäten'!N47+'Dateneingabe Mobilitäten'!P47+'Dateneingabe Mobilitäten'!R47+'Dateneingabe Mobilitäten'!T47+'Dateneingabe Mobilitäten'!Z47+'Dateneingabe Mobilitäten'!O52+'Dateneingabe Mobilitäten'!Q52+'Dateneingabe Mobilitäten'!S52+'Dateneingabe Mobilitäten'!U52+'Dateneingabe Mobilitäten'!V52+'Dateneingabe Mobilitäten'!W52+'Dateneingabe Mobilitäten'!AA52</f>
        <v>0</v>
      </c>
      <c r="AA50" s="105"/>
      <c r="AB50" s="737"/>
      <c r="AC50" s="737"/>
      <c r="AD50" s="49"/>
    </row>
    <row r="51" spans="2:30" x14ac:dyDescent="0.2">
      <c r="B51" s="48"/>
      <c r="C51" s="748"/>
      <c r="E51" s="29" t="s">
        <v>948</v>
      </c>
      <c r="G51" s="29"/>
      <c r="H51" s="125">
        <f>'Dateneingabe Mobilitäten'!I51</f>
        <v>0</v>
      </c>
      <c r="J51" s="29"/>
      <c r="K51" s="106"/>
      <c r="M51" s="7"/>
      <c r="O51" s="7"/>
      <c r="Q51" s="7"/>
      <c r="S51" s="7"/>
      <c r="T51" s="7"/>
      <c r="U51" s="7"/>
      <c r="V51" s="7"/>
      <c r="X51" s="7"/>
      <c r="Z51" s="126">
        <f>H50+L52+M52+N52+O52+P52+Q52+R52+S52+V52+T52</f>
        <v>0</v>
      </c>
      <c r="AA51" s="105"/>
      <c r="AB51" s="737"/>
      <c r="AC51" s="737"/>
      <c r="AD51" s="49"/>
    </row>
    <row r="52" spans="2:30" ht="13.5" thickBot="1" x14ac:dyDescent="0.25">
      <c r="B52" s="48"/>
      <c r="C52" s="749"/>
      <c r="D52" s="34"/>
      <c r="E52" s="36" t="s">
        <v>955</v>
      </c>
      <c r="F52" s="34"/>
      <c r="G52" s="36"/>
      <c r="H52" s="99">
        <f>'Dateneingabe Mobilitäten'!I52</f>
        <v>0</v>
      </c>
      <c r="I52" s="34"/>
      <c r="J52" s="86"/>
      <c r="K52" s="34"/>
      <c r="L52" s="99"/>
      <c r="M52" s="99">
        <f>M49*-1</f>
        <v>0</v>
      </c>
      <c r="N52" s="99"/>
      <c r="O52" s="99">
        <f>O49*-1</f>
        <v>0</v>
      </c>
      <c r="P52" s="99"/>
      <c r="Q52" s="99">
        <f>Q49*-1</f>
        <v>0</v>
      </c>
      <c r="R52" s="99"/>
      <c r="S52" s="99">
        <f>S49*-1</f>
        <v>0</v>
      </c>
      <c r="T52" s="99">
        <f>T49*-1</f>
        <v>0</v>
      </c>
      <c r="U52" s="99"/>
      <c r="V52" s="99"/>
      <c r="W52" s="99"/>
      <c r="X52" s="34"/>
      <c r="Y52" s="99"/>
      <c r="Z52" s="107"/>
      <c r="AA52" s="90">
        <f>H49-H50</f>
        <v>0</v>
      </c>
      <c r="AB52" s="738"/>
      <c r="AC52" s="738"/>
      <c r="AD52" s="49"/>
    </row>
    <row r="53" spans="2:30" ht="13.5" thickBot="1" x14ac:dyDescent="0.25">
      <c r="B53" s="48"/>
      <c r="AD53" s="49"/>
    </row>
    <row r="54" spans="2:30" x14ac:dyDescent="0.2">
      <c r="B54" s="48"/>
      <c r="C54" s="747" t="s">
        <v>260</v>
      </c>
      <c r="D54" s="31"/>
      <c r="E54" s="33" t="s">
        <v>252</v>
      </c>
      <c r="F54" s="31">
        <f>'Dateneingabe Mobilitäten'!G54</f>
        <v>0</v>
      </c>
      <c r="G54" s="108">
        <f>'Dateneingabe Mobilitäten'!H54</f>
        <v>0</v>
      </c>
      <c r="H54" s="108">
        <f>'Dateneingabe Mobilitäten'!I54</f>
        <v>0</v>
      </c>
      <c r="I54" s="31"/>
      <c r="J54" s="31"/>
      <c r="K54" s="63" t="s">
        <v>386</v>
      </c>
      <c r="L54" s="63"/>
      <c r="M54" s="63"/>
      <c r="N54" s="63" t="s">
        <v>250</v>
      </c>
      <c r="O54" s="63"/>
      <c r="P54" s="63" t="s">
        <v>262</v>
      </c>
      <c r="Q54" s="63"/>
      <c r="R54" s="63" t="s">
        <v>245</v>
      </c>
      <c r="S54" s="63"/>
      <c r="T54" s="63" t="s">
        <v>246</v>
      </c>
      <c r="U54" s="63"/>
      <c r="V54" s="60"/>
      <c r="W54" s="63" t="s">
        <v>277</v>
      </c>
      <c r="X54" s="108">
        <f>'Dateneingabe Mobilitäten'!F54</f>
        <v>0</v>
      </c>
      <c r="Y54" s="60"/>
      <c r="Z54" s="43"/>
      <c r="AA54" s="43"/>
      <c r="AC54" s="736">
        <f>'Dateneingabe Mobilitäten'!AE54</f>
        <v>0</v>
      </c>
      <c r="AD54" s="49"/>
    </row>
    <row r="55" spans="2:30" x14ac:dyDescent="0.2">
      <c r="B55" s="48"/>
      <c r="C55" s="748"/>
      <c r="E55" s="29" t="s">
        <v>383</v>
      </c>
      <c r="H55" s="7">
        <f>'Dateneingabe Mobilitäten'!I56</f>
        <v>0</v>
      </c>
      <c r="J55" s="29"/>
      <c r="K55" s="106">
        <f>MAX(0,H56)</f>
        <v>0</v>
      </c>
      <c r="N55" s="83">
        <f>'Dateneingabe Mobilitäten'!N56</f>
        <v>0</v>
      </c>
      <c r="P55" s="83">
        <f>'Dateneingabe Mobilitäten'!P56</f>
        <v>0</v>
      </c>
      <c r="R55" s="83">
        <f>'Dateneingabe Mobilitäten'!R56</f>
        <v>0</v>
      </c>
      <c r="T55" s="83">
        <f>'Dateneingabe Mobilitäten'!T56</f>
        <v>0</v>
      </c>
      <c r="U55" s="7"/>
      <c r="W55" s="83">
        <f>'Dateneingabe Mobilitäten'!Z56</f>
        <v>0</v>
      </c>
      <c r="X55" s="7">
        <f>'Dateneingabe Mobilitäten'!F55</f>
        <v>0</v>
      </c>
      <c r="Z55" s="12"/>
      <c r="AA55" s="45"/>
      <c r="AC55" s="737"/>
      <c r="AD55" s="49"/>
    </row>
    <row r="56" spans="2:30" ht="13.5" thickBot="1" x14ac:dyDescent="0.25">
      <c r="B56" s="48"/>
      <c r="C56" s="749"/>
      <c r="D56" s="34"/>
      <c r="E56" s="36" t="s">
        <v>594</v>
      </c>
      <c r="F56" s="34"/>
      <c r="G56" s="34"/>
      <c r="H56" s="102">
        <f>'Dateneingabe Mobilitäten'!I57</f>
        <v>0</v>
      </c>
      <c r="I56" s="34"/>
      <c r="J56" s="36"/>
      <c r="K56" s="86"/>
      <c r="L56" s="34"/>
      <c r="M56" s="34"/>
      <c r="N56" s="99"/>
      <c r="O56" s="34"/>
      <c r="P56" s="99"/>
      <c r="Q56" s="34"/>
      <c r="R56" s="99"/>
      <c r="S56" s="34"/>
      <c r="T56" s="99"/>
      <c r="U56" s="99"/>
      <c r="V56" s="34"/>
      <c r="W56" s="99"/>
      <c r="X56" s="99"/>
      <c r="Y56" s="99">
        <f>SUM('Dateneingabe Mobilitäten'!N56:AA56)</f>
        <v>0</v>
      </c>
      <c r="Z56" s="314">
        <f>'Dateneingabe Mobilitäten'!AB56</f>
        <v>0</v>
      </c>
      <c r="AA56" s="45"/>
      <c r="AC56" s="738"/>
      <c r="AD56" s="49"/>
    </row>
    <row r="57" spans="2:30" ht="7.5" customHeight="1" thickBot="1" x14ac:dyDescent="0.25">
      <c r="B57" s="51"/>
      <c r="C57" s="52"/>
      <c r="D57" s="52"/>
      <c r="E57" s="53"/>
      <c r="F57" s="52"/>
      <c r="G57" s="52"/>
      <c r="H57" s="52"/>
      <c r="I57" s="52"/>
      <c r="J57" s="52"/>
      <c r="K57" s="52"/>
      <c r="L57" s="52"/>
      <c r="M57" s="52"/>
      <c r="N57" s="52"/>
      <c r="O57" s="52"/>
      <c r="P57" s="52"/>
      <c r="Q57" s="52"/>
      <c r="R57" s="52"/>
      <c r="S57" s="52"/>
      <c r="T57" s="52"/>
      <c r="U57" s="52"/>
      <c r="V57" s="52"/>
      <c r="W57" s="52"/>
      <c r="X57" s="52"/>
      <c r="Y57" s="52"/>
      <c r="Z57" s="52"/>
      <c r="AA57" s="52"/>
      <c r="AB57" s="52"/>
      <c r="AC57" s="52"/>
      <c r="AD57" s="55"/>
    </row>
    <row r="58" spans="2:30" ht="14.25" thickTop="1" thickBot="1" x14ac:dyDescent="0.25"/>
    <row r="59" spans="2:30" ht="7.5" customHeight="1" thickTop="1" thickBot="1" x14ac:dyDescent="0.25">
      <c r="B59" s="56"/>
      <c r="C59" s="57"/>
      <c r="D59" s="57"/>
      <c r="E59" s="58"/>
      <c r="F59" s="57"/>
      <c r="G59" s="57"/>
      <c r="H59" s="57"/>
      <c r="I59" s="57"/>
      <c r="J59" s="57"/>
      <c r="K59" s="57"/>
      <c r="L59" s="57"/>
      <c r="M59" s="57"/>
      <c r="N59" s="57"/>
      <c r="O59" s="57"/>
      <c r="P59" s="57"/>
      <c r="Q59" s="57"/>
      <c r="R59" s="57"/>
      <c r="S59" s="57"/>
      <c r="T59" s="57"/>
      <c r="U59" s="57"/>
      <c r="V59" s="57"/>
      <c r="W59" s="57"/>
      <c r="X59" s="57"/>
      <c r="Y59" s="57"/>
      <c r="Z59" s="57"/>
      <c r="AA59" s="57"/>
      <c r="AB59" s="57"/>
      <c r="AC59" s="57"/>
      <c r="AD59" s="59"/>
    </row>
    <row r="60" spans="2:30" x14ac:dyDescent="0.2">
      <c r="B60" s="48"/>
      <c r="C60" s="747" t="s">
        <v>527</v>
      </c>
      <c r="D60" s="31"/>
      <c r="E60" s="33" t="s">
        <v>485</v>
      </c>
      <c r="F60" s="82">
        <f>'Dateneingabe Mobilitäten'!G63</f>
        <v>0</v>
      </c>
      <c r="G60" s="82">
        <f>'Dateneingabe Mobilitäten'!H63</f>
        <v>0</v>
      </c>
      <c r="H60" s="31">
        <f>F60+G60</f>
        <v>0</v>
      </c>
      <c r="I60" s="31"/>
      <c r="J60" s="31"/>
      <c r="K60" s="63" t="s">
        <v>386</v>
      </c>
      <c r="L60" s="63"/>
      <c r="M60" s="63" t="s">
        <v>249</v>
      </c>
      <c r="N60" s="63"/>
      <c r="O60" s="63" t="s">
        <v>263</v>
      </c>
      <c r="P60" s="63"/>
      <c r="Q60" s="63" t="s">
        <v>247</v>
      </c>
      <c r="R60" s="63"/>
      <c r="S60" s="63" t="s">
        <v>248</v>
      </c>
      <c r="T60" s="63" t="s">
        <v>466</v>
      </c>
      <c r="U60" s="63" t="s">
        <v>550</v>
      </c>
      <c r="V60" s="60"/>
      <c r="W60" s="60"/>
      <c r="X60" s="43">
        <f>'Dateneingabe Mobilitäten'!F63</f>
        <v>0</v>
      </c>
      <c r="Y60" s="457"/>
      <c r="AA60" s="31"/>
      <c r="AB60" s="765"/>
      <c r="AC60" s="765"/>
      <c r="AD60" s="49"/>
    </row>
    <row r="61" spans="2:30" x14ac:dyDescent="0.2">
      <c r="B61" s="48"/>
      <c r="C61" s="748"/>
      <c r="E61" s="456" t="s">
        <v>252</v>
      </c>
      <c r="F61" s="100">
        <f>'Dateneingabe Mobilitäten'!G64</f>
        <v>0</v>
      </c>
      <c r="G61" s="100">
        <f>'Dateneingabe Mobilitäten'!H64</f>
        <v>0</v>
      </c>
      <c r="J61" s="29" t="s">
        <v>385</v>
      </c>
      <c r="K61" s="106">
        <f>MAX(0,J62)</f>
        <v>0</v>
      </c>
      <c r="M61" s="83">
        <f>'Dateneingabe Mobilitäten'!O64</f>
        <v>0</v>
      </c>
      <c r="O61" s="83">
        <f>'Dateneingabe Mobilitäten'!Q64</f>
        <v>0</v>
      </c>
      <c r="Q61" s="83">
        <f>'Dateneingabe Mobilitäten'!S64</f>
        <v>0</v>
      </c>
      <c r="S61" s="83">
        <f>'Dateneingabe Mobilitäten'!U64</f>
        <v>0</v>
      </c>
      <c r="T61" s="83">
        <f>'Dateneingabe Mobilitäten'!V64</f>
        <v>0</v>
      </c>
      <c r="U61" s="83">
        <f>'Dateneingabe Mobilitäten'!W64</f>
        <v>0</v>
      </c>
      <c r="W61" s="7">
        <f>M61+O61+Q61+S61+T61+U61</f>
        <v>0</v>
      </c>
      <c r="X61" s="12"/>
      <c r="Y61" s="458"/>
      <c r="AA61" s="30"/>
      <c r="AB61" s="765"/>
      <c r="AC61" s="765"/>
      <c r="AD61" s="49"/>
    </row>
    <row r="62" spans="2:30" ht="13.5" thickBot="1" x14ac:dyDescent="0.25">
      <c r="B62" s="48"/>
      <c r="C62" s="749"/>
      <c r="D62" s="34"/>
      <c r="E62" s="36" t="s">
        <v>112</v>
      </c>
      <c r="F62" s="101">
        <f>'Dateneingabe Mobilitäten'!G65</f>
        <v>0</v>
      </c>
      <c r="G62" s="101">
        <f>'Dateneingabe Mobilitäten'!H65</f>
        <v>0</v>
      </c>
      <c r="H62" s="102">
        <f>F62+G62</f>
        <v>0</v>
      </c>
      <c r="I62" s="85"/>
      <c r="J62" s="86">
        <f>X62-H62</f>
        <v>0</v>
      </c>
      <c r="K62" s="34"/>
      <c r="L62" s="99"/>
      <c r="M62" s="99">
        <f>M61*-1</f>
        <v>0</v>
      </c>
      <c r="N62" s="99"/>
      <c r="O62" s="99">
        <f>O61*-1</f>
        <v>0</v>
      </c>
      <c r="P62" s="99"/>
      <c r="Q62" s="99">
        <f>Q61*-1</f>
        <v>0</v>
      </c>
      <c r="R62" s="99"/>
      <c r="S62" s="99">
        <f>S61*-1</f>
        <v>0</v>
      </c>
      <c r="T62" s="99">
        <f t="shared" ref="T62:U62" si="14">T61*-1</f>
        <v>0</v>
      </c>
      <c r="U62" s="99">
        <f t="shared" si="14"/>
        <v>0</v>
      </c>
      <c r="V62" s="99"/>
      <c r="W62" s="7">
        <f>M62+O62+Q62+S62+T62+U62</f>
        <v>0</v>
      </c>
      <c r="X62" s="314">
        <f>'Dateneingabe Mobilitäten'!F65</f>
        <v>0</v>
      </c>
      <c r="Y62" s="458"/>
      <c r="Z62" s="125"/>
      <c r="AA62" s="89">
        <f>Z62-H62</f>
        <v>0</v>
      </c>
      <c r="AB62" s="765"/>
      <c r="AC62" s="765"/>
      <c r="AD62" s="49"/>
    </row>
    <row r="63" spans="2:30" ht="13.5" thickBot="1" x14ac:dyDescent="0.25">
      <c r="B63" s="48"/>
      <c r="AD63" s="49"/>
    </row>
    <row r="64" spans="2:30" x14ac:dyDescent="0.2">
      <c r="B64" s="48"/>
      <c r="C64" s="747" t="s">
        <v>528</v>
      </c>
      <c r="D64" s="31"/>
      <c r="E64" s="33" t="s">
        <v>485</v>
      </c>
      <c r="F64" s="82">
        <f>'Dateneingabe Mobilitäten'!G67</f>
        <v>0</v>
      </c>
      <c r="G64" s="82">
        <f>'Dateneingabe Mobilitäten'!H67</f>
        <v>0</v>
      </c>
      <c r="H64" s="31">
        <f>F64+G64</f>
        <v>0</v>
      </c>
      <c r="I64" s="31"/>
      <c r="J64" s="31"/>
      <c r="K64" s="63" t="s">
        <v>386</v>
      </c>
      <c r="L64" s="63"/>
      <c r="M64" s="63" t="s">
        <v>249</v>
      </c>
      <c r="N64" s="63"/>
      <c r="O64" s="63" t="s">
        <v>263</v>
      </c>
      <c r="P64" s="63"/>
      <c r="Q64" s="63" t="s">
        <v>247</v>
      </c>
      <c r="R64" s="63"/>
      <c r="S64" s="63" t="s">
        <v>248</v>
      </c>
      <c r="T64" s="63" t="s">
        <v>466</v>
      </c>
      <c r="U64" s="63" t="s">
        <v>550</v>
      </c>
      <c r="V64" s="60"/>
      <c r="W64" s="60"/>
      <c r="X64" s="43">
        <f>'Dateneingabe Mobilitäten'!F67</f>
        <v>0</v>
      </c>
      <c r="Y64" s="457"/>
      <c r="AA64" s="43"/>
      <c r="AB64" s="765"/>
      <c r="AC64" s="765"/>
      <c r="AD64" s="49"/>
    </row>
    <row r="65" spans="2:30" x14ac:dyDescent="0.2">
      <c r="B65" s="48"/>
      <c r="C65" s="748"/>
      <c r="E65" s="456" t="s">
        <v>252</v>
      </c>
      <c r="F65" s="100">
        <f>'Dateneingabe Mobilitäten'!G68</f>
        <v>0</v>
      </c>
      <c r="G65" s="100">
        <f>'Dateneingabe Mobilitäten'!H68</f>
        <v>0</v>
      </c>
      <c r="J65" s="29" t="s">
        <v>385</v>
      </c>
      <c r="K65" s="106">
        <f>MAX(0,J66)</f>
        <v>0</v>
      </c>
      <c r="M65" s="83">
        <f>'Dateneingabe Mobilitäten'!O68</f>
        <v>0</v>
      </c>
      <c r="O65" s="83">
        <f>'Dateneingabe Mobilitäten'!Q68</f>
        <v>0</v>
      </c>
      <c r="Q65" s="83">
        <f>'Dateneingabe Mobilitäten'!S68</f>
        <v>0</v>
      </c>
      <c r="S65" s="83">
        <f>'Dateneingabe Mobilitäten'!U68</f>
        <v>0</v>
      </c>
      <c r="T65" s="83">
        <f>'Dateneingabe Mobilitäten'!V68</f>
        <v>0</v>
      </c>
      <c r="U65" s="83">
        <f>'Dateneingabe Mobilitäten'!W68</f>
        <v>0</v>
      </c>
      <c r="W65" s="7">
        <f>M65+O65+Q65+S65+T65+U65</f>
        <v>0</v>
      </c>
      <c r="X65" s="12"/>
      <c r="Y65" s="458"/>
      <c r="AA65" s="45"/>
      <c r="AB65" s="765"/>
      <c r="AC65" s="765"/>
      <c r="AD65" s="49"/>
    </row>
    <row r="66" spans="2:30" ht="13.5" thickBot="1" x14ac:dyDescent="0.25">
      <c r="B66" s="48"/>
      <c r="C66" s="749"/>
      <c r="D66" s="34"/>
      <c r="E66" s="36" t="s">
        <v>112</v>
      </c>
      <c r="F66" s="101">
        <f>'Dateneingabe Mobilitäten'!G69</f>
        <v>0</v>
      </c>
      <c r="G66" s="101">
        <f>'Dateneingabe Mobilitäten'!H69</f>
        <v>0</v>
      </c>
      <c r="H66" s="102">
        <f>F66+G66</f>
        <v>0</v>
      </c>
      <c r="I66" s="85"/>
      <c r="J66" s="86">
        <f>X66-H66</f>
        <v>0</v>
      </c>
      <c r="K66" s="34"/>
      <c r="L66" s="99"/>
      <c r="M66" s="99">
        <f>M65*-1</f>
        <v>0</v>
      </c>
      <c r="N66" s="99"/>
      <c r="O66" s="99">
        <f>O65*-1</f>
        <v>0</v>
      </c>
      <c r="P66" s="99"/>
      <c r="Q66" s="99">
        <f>Q65*-1</f>
        <v>0</v>
      </c>
      <c r="R66" s="99"/>
      <c r="S66" s="99">
        <f>S65*-1</f>
        <v>0</v>
      </c>
      <c r="T66" s="99">
        <f t="shared" ref="T66:U66" si="15">T65*-1</f>
        <v>0</v>
      </c>
      <c r="U66" s="99">
        <f t="shared" si="15"/>
        <v>0</v>
      </c>
      <c r="V66" s="99"/>
      <c r="W66" s="7">
        <f>M66+O66+Q66+S66+T66+U66</f>
        <v>0</v>
      </c>
      <c r="X66" s="314">
        <f>'Dateneingabe Mobilitäten'!F69</f>
        <v>0</v>
      </c>
      <c r="Y66" s="458"/>
      <c r="Z66" s="125"/>
      <c r="AA66" s="90">
        <f>Z66-H66</f>
        <v>0</v>
      </c>
      <c r="AB66" s="765"/>
      <c r="AC66" s="765"/>
      <c r="AD66" s="49"/>
    </row>
    <row r="67" spans="2:30" ht="13.5" thickBot="1" x14ac:dyDescent="0.25">
      <c r="B67" s="48"/>
      <c r="AD67" s="49"/>
    </row>
    <row r="68" spans="2:30" x14ac:dyDescent="0.2">
      <c r="B68" s="48"/>
      <c r="C68" s="747" t="s">
        <v>529</v>
      </c>
      <c r="D68" s="31"/>
      <c r="E68" s="33" t="s">
        <v>485</v>
      </c>
      <c r="F68" s="82">
        <f>'Dateneingabe Mobilitäten'!G71</f>
        <v>0</v>
      </c>
      <c r="G68" s="82">
        <f>'Dateneingabe Mobilitäten'!H71</f>
        <v>0</v>
      </c>
      <c r="H68" s="31">
        <f>F68+G68</f>
        <v>0</v>
      </c>
      <c r="I68" s="31"/>
      <c r="J68" s="31"/>
      <c r="K68" s="63" t="s">
        <v>386</v>
      </c>
      <c r="L68" s="63"/>
      <c r="M68" s="63" t="s">
        <v>249</v>
      </c>
      <c r="N68" s="63"/>
      <c r="O68" s="63" t="s">
        <v>263</v>
      </c>
      <c r="P68" s="63"/>
      <c r="Q68" s="63" t="s">
        <v>247</v>
      </c>
      <c r="R68" s="63"/>
      <c r="S68" s="63" t="s">
        <v>248</v>
      </c>
      <c r="T68" s="63" t="s">
        <v>466</v>
      </c>
      <c r="U68" s="63" t="s">
        <v>550</v>
      </c>
      <c r="V68" s="60"/>
      <c r="W68" s="60"/>
      <c r="X68" s="43">
        <f>'Dateneingabe Mobilitäten'!F71</f>
        <v>0</v>
      </c>
      <c r="Y68" s="457"/>
      <c r="AA68" s="43"/>
      <c r="AB68" s="765"/>
      <c r="AC68" s="765"/>
      <c r="AD68" s="49"/>
    </row>
    <row r="69" spans="2:30" x14ac:dyDescent="0.2">
      <c r="B69" s="48"/>
      <c r="C69" s="748"/>
      <c r="E69" s="456" t="s">
        <v>252</v>
      </c>
      <c r="F69" s="100">
        <f>'Dateneingabe Mobilitäten'!G72</f>
        <v>0</v>
      </c>
      <c r="G69" s="100">
        <f>'Dateneingabe Mobilitäten'!H72</f>
        <v>0</v>
      </c>
      <c r="J69" s="29" t="s">
        <v>385</v>
      </c>
      <c r="K69" s="106">
        <f>MAX(0,J70)</f>
        <v>0</v>
      </c>
      <c r="M69" s="83">
        <f>'Dateneingabe Mobilitäten'!O72</f>
        <v>0</v>
      </c>
      <c r="O69" s="83">
        <f>'Dateneingabe Mobilitäten'!Q72</f>
        <v>0</v>
      </c>
      <c r="Q69" s="83">
        <f>'Dateneingabe Mobilitäten'!S72</f>
        <v>0</v>
      </c>
      <c r="S69" s="83">
        <f>'Dateneingabe Mobilitäten'!U72</f>
        <v>0</v>
      </c>
      <c r="T69" s="83">
        <f>'Dateneingabe Mobilitäten'!V72</f>
        <v>0</v>
      </c>
      <c r="U69" s="83">
        <f>'Dateneingabe Mobilitäten'!W72</f>
        <v>0</v>
      </c>
      <c r="W69" s="7">
        <f>M69+O69+Q69+S69+T69+U69</f>
        <v>0</v>
      </c>
      <c r="X69" s="12"/>
      <c r="Y69" s="458"/>
      <c r="AA69" s="45"/>
      <c r="AB69" s="765"/>
      <c r="AC69" s="765"/>
      <c r="AD69" s="49"/>
    </row>
    <row r="70" spans="2:30" ht="13.5" thickBot="1" x14ac:dyDescent="0.25">
      <c r="B70" s="48"/>
      <c r="C70" s="749"/>
      <c r="D70" s="34"/>
      <c r="E70" s="36" t="s">
        <v>112</v>
      </c>
      <c r="F70" s="101">
        <f>'Dateneingabe Mobilitäten'!G73</f>
        <v>0</v>
      </c>
      <c r="G70" s="101">
        <f>'Dateneingabe Mobilitäten'!H73</f>
        <v>0</v>
      </c>
      <c r="H70" s="102">
        <f>F70+G70</f>
        <v>0</v>
      </c>
      <c r="I70" s="85"/>
      <c r="J70" s="86">
        <f>X70-H70</f>
        <v>0</v>
      </c>
      <c r="K70" s="34"/>
      <c r="L70" s="99"/>
      <c r="M70" s="99">
        <f>M69*-1</f>
        <v>0</v>
      </c>
      <c r="N70" s="99"/>
      <c r="O70" s="99">
        <f>O69*-1</f>
        <v>0</v>
      </c>
      <c r="P70" s="99"/>
      <c r="Q70" s="99">
        <f>Q69*-1</f>
        <v>0</v>
      </c>
      <c r="R70" s="99"/>
      <c r="S70" s="99">
        <f>S69*-1</f>
        <v>0</v>
      </c>
      <c r="T70" s="99">
        <f t="shared" ref="T70:U70" si="16">T69*-1</f>
        <v>0</v>
      </c>
      <c r="U70" s="99">
        <f t="shared" si="16"/>
        <v>0</v>
      </c>
      <c r="V70" s="99"/>
      <c r="W70" s="7">
        <f>M70+O70+Q70+S70+T70+U70</f>
        <v>0</v>
      </c>
      <c r="X70" s="314">
        <f>'Dateneingabe Mobilitäten'!F73</f>
        <v>0</v>
      </c>
      <c r="Y70" s="458"/>
      <c r="Z70" s="125"/>
      <c r="AA70" s="90">
        <f>Z70-H70</f>
        <v>0</v>
      </c>
      <c r="AB70" s="765"/>
      <c r="AC70" s="765"/>
      <c r="AD70" s="49"/>
    </row>
    <row r="71" spans="2:30" ht="13.5" thickBot="1" x14ac:dyDescent="0.25">
      <c r="B71" s="48"/>
      <c r="AD71" s="49"/>
    </row>
    <row r="72" spans="2:30" x14ac:dyDescent="0.2">
      <c r="B72" s="48"/>
      <c r="C72" s="747" t="s">
        <v>530</v>
      </c>
      <c r="D72" s="31"/>
      <c r="E72" s="33" t="s">
        <v>485</v>
      </c>
      <c r="F72" s="82">
        <f>'Dateneingabe Mobilitäten'!G75</f>
        <v>0</v>
      </c>
      <c r="G72" s="82">
        <f>'Dateneingabe Mobilitäten'!H75</f>
        <v>0</v>
      </c>
      <c r="H72" s="31">
        <f>F72+G72</f>
        <v>0</v>
      </c>
      <c r="I72" s="31"/>
      <c r="J72" s="31"/>
      <c r="K72" s="63" t="s">
        <v>386</v>
      </c>
      <c r="L72" s="63"/>
      <c r="M72" s="63" t="s">
        <v>249</v>
      </c>
      <c r="N72" s="63"/>
      <c r="O72" s="63" t="s">
        <v>263</v>
      </c>
      <c r="P72" s="63"/>
      <c r="Q72" s="63" t="s">
        <v>247</v>
      </c>
      <c r="R72" s="63"/>
      <c r="S72" s="63" t="s">
        <v>248</v>
      </c>
      <c r="T72" s="63" t="s">
        <v>466</v>
      </c>
      <c r="U72" s="63" t="s">
        <v>550</v>
      </c>
      <c r="V72" s="60"/>
      <c r="W72" s="60"/>
      <c r="X72" s="43">
        <f>'Dateneingabe Mobilitäten'!F75</f>
        <v>0</v>
      </c>
      <c r="Y72" s="457"/>
      <c r="AA72" s="43"/>
      <c r="AB72" s="765"/>
      <c r="AC72" s="765"/>
      <c r="AD72" s="49"/>
    </row>
    <row r="73" spans="2:30" x14ac:dyDescent="0.2">
      <c r="B73" s="48"/>
      <c r="C73" s="748"/>
      <c r="E73" s="456" t="s">
        <v>252</v>
      </c>
      <c r="F73" s="100">
        <f>'Dateneingabe Mobilitäten'!G76</f>
        <v>0</v>
      </c>
      <c r="G73" s="100">
        <f>'Dateneingabe Mobilitäten'!H76</f>
        <v>0</v>
      </c>
      <c r="J73" s="29" t="s">
        <v>385</v>
      </c>
      <c r="K73" s="106">
        <f>MAX(0,J74)</f>
        <v>0</v>
      </c>
      <c r="M73" s="83">
        <f>'Dateneingabe Mobilitäten'!O76</f>
        <v>0</v>
      </c>
      <c r="O73" s="83">
        <f>'Dateneingabe Mobilitäten'!Q76</f>
        <v>0</v>
      </c>
      <c r="Q73" s="83">
        <f>'Dateneingabe Mobilitäten'!S76</f>
        <v>0</v>
      </c>
      <c r="S73" s="83">
        <f>'Dateneingabe Mobilitäten'!U76</f>
        <v>0</v>
      </c>
      <c r="T73" s="83">
        <f>'Dateneingabe Mobilitäten'!V76</f>
        <v>0</v>
      </c>
      <c r="U73" s="83">
        <f>'Dateneingabe Mobilitäten'!W76</f>
        <v>0</v>
      </c>
      <c r="W73" s="7">
        <f>M73+O73+Q73+S73+T73+U73</f>
        <v>0</v>
      </c>
      <c r="X73" s="12"/>
      <c r="Y73" s="458"/>
      <c r="AA73" s="45"/>
      <c r="AB73" s="765"/>
      <c r="AC73" s="765"/>
      <c r="AD73" s="49"/>
    </row>
    <row r="74" spans="2:30" ht="13.5" thickBot="1" x14ac:dyDescent="0.25">
      <c r="B74" s="48"/>
      <c r="C74" s="749"/>
      <c r="D74" s="34"/>
      <c r="E74" s="36" t="s">
        <v>112</v>
      </c>
      <c r="F74" s="101">
        <f>'Dateneingabe Mobilitäten'!G77</f>
        <v>0</v>
      </c>
      <c r="G74" s="101">
        <f>'Dateneingabe Mobilitäten'!H77</f>
        <v>0</v>
      </c>
      <c r="H74" s="102">
        <f>F74+G74</f>
        <v>0</v>
      </c>
      <c r="I74" s="85"/>
      <c r="J74" s="86">
        <f>X74-H74</f>
        <v>0</v>
      </c>
      <c r="K74" s="34"/>
      <c r="L74" s="99"/>
      <c r="M74" s="99">
        <f>M73*-1</f>
        <v>0</v>
      </c>
      <c r="N74" s="99"/>
      <c r="O74" s="99">
        <f>O73*-1</f>
        <v>0</v>
      </c>
      <c r="P74" s="99"/>
      <c r="Q74" s="99">
        <f>Q73*-1</f>
        <v>0</v>
      </c>
      <c r="R74" s="99"/>
      <c r="S74" s="99">
        <f>S73*-1</f>
        <v>0</v>
      </c>
      <c r="T74" s="99">
        <f t="shared" ref="T74:U74" si="17">T73*-1</f>
        <v>0</v>
      </c>
      <c r="U74" s="99">
        <f t="shared" si="17"/>
        <v>0</v>
      </c>
      <c r="V74" s="99"/>
      <c r="W74" s="7">
        <f>M74+O74+Q74+S74+T74+U74</f>
        <v>0</v>
      </c>
      <c r="X74" s="314">
        <f>'Dateneingabe Mobilitäten'!F77</f>
        <v>0</v>
      </c>
      <c r="Y74" s="458"/>
      <c r="Z74" s="125"/>
      <c r="AA74" s="90">
        <f>Z74-H74</f>
        <v>0</v>
      </c>
      <c r="AB74" s="765"/>
      <c r="AC74" s="765"/>
      <c r="AD74" s="49"/>
    </row>
    <row r="75" spans="2:30" ht="13.5" thickBot="1" x14ac:dyDescent="0.25">
      <c r="B75" s="48"/>
      <c r="AD75" s="49"/>
    </row>
    <row r="76" spans="2:30" x14ac:dyDescent="0.2">
      <c r="B76" s="48"/>
      <c r="C76" s="747" t="s">
        <v>531</v>
      </c>
      <c r="D76" s="31"/>
      <c r="E76" s="33" t="s">
        <v>485</v>
      </c>
      <c r="F76" s="82">
        <f>'Dateneingabe Mobilitäten'!G79</f>
        <v>0</v>
      </c>
      <c r="G76" s="82">
        <f>'Dateneingabe Mobilitäten'!H79</f>
        <v>0</v>
      </c>
      <c r="H76" s="31">
        <f>F76+G76</f>
        <v>0</v>
      </c>
      <c r="I76" s="31"/>
      <c r="J76" s="31"/>
      <c r="K76" s="63" t="s">
        <v>386</v>
      </c>
      <c r="L76" s="63"/>
      <c r="M76" s="63" t="s">
        <v>249</v>
      </c>
      <c r="N76" s="63"/>
      <c r="O76" s="63" t="s">
        <v>263</v>
      </c>
      <c r="P76" s="63"/>
      <c r="Q76" s="63" t="s">
        <v>247</v>
      </c>
      <c r="R76" s="63"/>
      <c r="S76" s="63" t="s">
        <v>248</v>
      </c>
      <c r="T76" s="63" t="s">
        <v>466</v>
      </c>
      <c r="U76" s="63" t="s">
        <v>550</v>
      </c>
      <c r="V76" s="60"/>
      <c r="W76" s="60"/>
      <c r="X76" s="43">
        <f>'Dateneingabe Mobilitäten'!F79</f>
        <v>0</v>
      </c>
      <c r="Y76" s="457"/>
      <c r="AA76" s="43"/>
      <c r="AB76" s="765"/>
      <c r="AC76" s="765"/>
      <c r="AD76" s="49"/>
    </row>
    <row r="77" spans="2:30" x14ac:dyDescent="0.2">
      <c r="B77" s="48"/>
      <c r="C77" s="748"/>
      <c r="E77" s="456" t="s">
        <v>252</v>
      </c>
      <c r="F77" s="100">
        <f>'Dateneingabe Mobilitäten'!G80</f>
        <v>0</v>
      </c>
      <c r="G77" s="100">
        <f>'Dateneingabe Mobilitäten'!H80</f>
        <v>0</v>
      </c>
      <c r="J77" s="29" t="s">
        <v>385</v>
      </c>
      <c r="K77" s="106">
        <f>MAX(0,J78)</f>
        <v>0</v>
      </c>
      <c r="M77" s="83">
        <f>'Dateneingabe Mobilitäten'!O80</f>
        <v>0</v>
      </c>
      <c r="O77" s="83">
        <f>'Dateneingabe Mobilitäten'!Q80</f>
        <v>0</v>
      </c>
      <c r="Q77" s="83">
        <f>'Dateneingabe Mobilitäten'!S80</f>
        <v>0</v>
      </c>
      <c r="S77" s="83">
        <f>'Dateneingabe Mobilitäten'!U80</f>
        <v>0</v>
      </c>
      <c r="T77" s="83">
        <f>'Dateneingabe Mobilitäten'!V80</f>
        <v>0</v>
      </c>
      <c r="U77" s="83">
        <f>'Dateneingabe Mobilitäten'!W80</f>
        <v>0</v>
      </c>
      <c r="W77" s="7">
        <f>M77+O77+Q77+S77+T77+U77</f>
        <v>0</v>
      </c>
      <c r="X77" s="12"/>
      <c r="Y77" s="458"/>
      <c r="AA77" s="45"/>
      <c r="AB77" s="765"/>
      <c r="AC77" s="765"/>
      <c r="AD77" s="49"/>
    </row>
    <row r="78" spans="2:30" ht="13.5" thickBot="1" x14ac:dyDescent="0.25">
      <c r="B78" s="48"/>
      <c r="C78" s="749"/>
      <c r="D78" s="34"/>
      <c r="E78" s="36" t="s">
        <v>112</v>
      </c>
      <c r="F78" s="101">
        <f>'Dateneingabe Mobilitäten'!G81</f>
        <v>0</v>
      </c>
      <c r="G78" s="101">
        <f>'Dateneingabe Mobilitäten'!H81</f>
        <v>0</v>
      </c>
      <c r="H78" s="102">
        <f>F78+G78</f>
        <v>0</v>
      </c>
      <c r="I78" s="85"/>
      <c r="J78" s="86">
        <f>X78-H78</f>
        <v>0</v>
      </c>
      <c r="K78" s="34"/>
      <c r="L78" s="99"/>
      <c r="M78" s="99">
        <f>M77*-1</f>
        <v>0</v>
      </c>
      <c r="N78" s="99"/>
      <c r="O78" s="99">
        <f>O77*-1</f>
        <v>0</v>
      </c>
      <c r="P78" s="99"/>
      <c r="Q78" s="99">
        <f>Q77*-1</f>
        <v>0</v>
      </c>
      <c r="R78" s="99"/>
      <c r="S78" s="99">
        <f>S77*-1</f>
        <v>0</v>
      </c>
      <c r="T78" s="99">
        <f t="shared" ref="T78:U78" si="18">T77*-1</f>
        <v>0</v>
      </c>
      <c r="U78" s="99">
        <f t="shared" si="18"/>
        <v>0</v>
      </c>
      <c r="V78" s="99"/>
      <c r="W78" s="7">
        <f>M78+O78+Q78+S78+T78+U78</f>
        <v>0</v>
      </c>
      <c r="X78" s="314">
        <f>'Dateneingabe Mobilitäten'!F81</f>
        <v>0</v>
      </c>
      <c r="Y78" s="458"/>
      <c r="Z78" s="125"/>
      <c r="AA78" s="90">
        <f>Z78-H78</f>
        <v>0</v>
      </c>
      <c r="AB78" s="765"/>
      <c r="AC78" s="765"/>
      <c r="AD78" s="49"/>
    </row>
    <row r="79" spans="2:30" ht="13.5" thickBot="1" x14ac:dyDescent="0.25">
      <c r="B79" s="48"/>
      <c r="C79" s="235"/>
      <c r="F79" s="7"/>
      <c r="G79" s="7"/>
      <c r="H79" s="125"/>
      <c r="I79" s="236"/>
      <c r="J79" s="106"/>
      <c r="L79" s="7"/>
      <c r="M79" s="7"/>
      <c r="N79" s="7"/>
      <c r="O79" s="7"/>
      <c r="P79" s="7"/>
      <c r="Q79" s="7"/>
      <c r="R79" s="7"/>
      <c r="S79" s="7"/>
      <c r="T79" s="7"/>
      <c r="U79" s="7"/>
      <c r="V79" s="7"/>
      <c r="W79" s="7"/>
      <c r="X79" s="7"/>
      <c r="Y79" s="7"/>
      <c r="Z79" s="125"/>
      <c r="AA79" s="176"/>
      <c r="AC79" s="237"/>
      <c r="AD79" s="49"/>
    </row>
    <row r="80" spans="2:30" x14ac:dyDescent="0.2">
      <c r="B80" s="48"/>
      <c r="C80" s="747" t="s">
        <v>532</v>
      </c>
      <c r="D80" s="31"/>
      <c r="E80" s="33" t="s">
        <v>485</v>
      </c>
      <c r="F80" s="82">
        <f>'Dateneingabe Mobilitäten'!G83</f>
        <v>0</v>
      </c>
      <c r="G80" s="82">
        <f>'Dateneingabe Mobilitäten'!H83</f>
        <v>0</v>
      </c>
      <c r="H80" s="31">
        <f>F80+G80</f>
        <v>0</v>
      </c>
      <c r="I80" s="31"/>
      <c r="J80" s="31"/>
      <c r="K80" s="63" t="s">
        <v>386</v>
      </c>
      <c r="L80" s="63"/>
      <c r="M80" s="63" t="s">
        <v>249</v>
      </c>
      <c r="N80" s="63"/>
      <c r="O80" s="63" t="s">
        <v>263</v>
      </c>
      <c r="P80" s="63"/>
      <c r="Q80" s="63" t="s">
        <v>247</v>
      </c>
      <c r="R80" s="63"/>
      <c r="S80" s="63" t="s">
        <v>248</v>
      </c>
      <c r="T80" s="63" t="s">
        <v>466</v>
      </c>
      <c r="U80" s="63" t="s">
        <v>550</v>
      </c>
      <c r="V80" s="60"/>
      <c r="W80" s="60"/>
      <c r="X80" s="43">
        <f>'Dateneingabe Mobilitäten'!F83</f>
        <v>0</v>
      </c>
      <c r="Y80" s="457"/>
      <c r="AA80" s="43"/>
      <c r="AB80" s="765"/>
      <c r="AC80" s="765"/>
      <c r="AD80" s="49"/>
    </row>
    <row r="81" spans="2:31" x14ac:dyDescent="0.2">
      <c r="B81" s="48"/>
      <c r="C81" s="748"/>
      <c r="E81" s="456" t="s">
        <v>252</v>
      </c>
      <c r="F81" s="100">
        <f>'Dateneingabe Mobilitäten'!G84</f>
        <v>0</v>
      </c>
      <c r="G81" s="100">
        <f>'Dateneingabe Mobilitäten'!H84</f>
        <v>0</v>
      </c>
      <c r="J81" s="29" t="s">
        <v>385</v>
      </c>
      <c r="K81" s="106">
        <f>MAX(0,J82)</f>
        <v>0</v>
      </c>
      <c r="M81" s="83">
        <f>'Dateneingabe Mobilitäten'!O84</f>
        <v>0</v>
      </c>
      <c r="O81" s="83">
        <f>'Dateneingabe Mobilitäten'!Q84</f>
        <v>0</v>
      </c>
      <c r="Q81" s="83">
        <f>'Dateneingabe Mobilitäten'!S84</f>
        <v>0</v>
      </c>
      <c r="S81" s="83">
        <f>'Dateneingabe Mobilitäten'!U84</f>
        <v>0</v>
      </c>
      <c r="T81" s="83">
        <f>'Dateneingabe Mobilitäten'!V84</f>
        <v>0</v>
      </c>
      <c r="U81" s="83">
        <f>'Dateneingabe Mobilitäten'!W84</f>
        <v>0</v>
      </c>
      <c r="W81" s="7">
        <f>M81+O81+Q81+S81+T81+U81</f>
        <v>0</v>
      </c>
      <c r="X81" s="12"/>
      <c r="Y81" s="458"/>
      <c r="AA81" s="45"/>
      <c r="AB81" s="765"/>
      <c r="AC81" s="765"/>
      <c r="AD81" s="49"/>
    </row>
    <row r="82" spans="2:31" ht="13.5" thickBot="1" x14ac:dyDescent="0.25">
      <c r="B82" s="48"/>
      <c r="C82" s="749"/>
      <c r="D82" s="34"/>
      <c r="E82" s="36" t="s">
        <v>112</v>
      </c>
      <c r="F82" s="101">
        <f>'Dateneingabe Mobilitäten'!G85</f>
        <v>0</v>
      </c>
      <c r="G82" s="101">
        <f>'Dateneingabe Mobilitäten'!H85</f>
        <v>0</v>
      </c>
      <c r="H82" s="102">
        <f>F82+G82</f>
        <v>0</v>
      </c>
      <c r="I82" s="85"/>
      <c r="J82" s="86">
        <f>X82-H82</f>
        <v>0</v>
      </c>
      <c r="K82" s="34"/>
      <c r="L82" s="99"/>
      <c r="M82" s="99">
        <f>M81*-1</f>
        <v>0</v>
      </c>
      <c r="N82" s="99"/>
      <c r="O82" s="99">
        <f>O81*-1</f>
        <v>0</v>
      </c>
      <c r="P82" s="99"/>
      <c r="Q82" s="99">
        <f>Q81*-1</f>
        <v>0</v>
      </c>
      <c r="R82" s="99"/>
      <c r="S82" s="99">
        <f>S81*-1</f>
        <v>0</v>
      </c>
      <c r="T82" s="99">
        <f t="shared" ref="T82:U82" si="19">T81*-1</f>
        <v>0</v>
      </c>
      <c r="U82" s="99">
        <f t="shared" si="19"/>
        <v>0</v>
      </c>
      <c r="V82" s="99"/>
      <c r="W82" s="7">
        <f>M82+O82+Q82+S82+T82+U82</f>
        <v>0</v>
      </c>
      <c r="X82" s="314">
        <f>'Dateneingabe Mobilitäten'!F85</f>
        <v>0</v>
      </c>
      <c r="Y82" s="458"/>
      <c r="Z82" s="125"/>
      <c r="AA82" s="90">
        <f>Z82-H82</f>
        <v>0</v>
      </c>
      <c r="AB82" s="765"/>
      <c r="AC82" s="765"/>
      <c r="AD82" s="49"/>
    </row>
    <row r="83" spans="2:31" hidden="1" x14ac:dyDescent="0.2">
      <c r="B83" s="48"/>
      <c r="C83" s="235"/>
      <c r="F83" s="7"/>
      <c r="G83" s="7"/>
      <c r="H83" s="125"/>
      <c r="I83" s="236"/>
      <c r="J83" s="106"/>
      <c r="L83" s="7"/>
      <c r="M83" s="7"/>
      <c r="N83" s="7"/>
      <c r="O83" s="7"/>
      <c r="P83" s="7"/>
      <c r="Q83" s="7"/>
      <c r="R83" s="7"/>
      <c r="S83" s="7"/>
      <c r="T83" s="7"/>
      <c r="U83" s="7"/>
      <c r="V83" s="7"/>
      <c r="W83" s="7"/>
      <c r="X83" s="7"/>
      <c r="Y83" s="7"/>
      <c r="Z83" s="125"/>
      <c r="AA83" s="176"/>
      <c r="AC83" s="237"/>
      <c r="AD83" s="49"/>
    </row>
    <row r="84" spans="2:31" hidden="1" x14ac:dyDescent="0.2">
      <c r="B84" s="48"/>
      <c r="C84" s="235"/>
      <c r="F84" s="7"/>
      <c r="G84" s="7"/>
      <c r="H84" s="125"/>
      <c r="I84" s="236"/>
      <c r="J84" s="106"/>
      <c r="L84" s="7"/>
      <c r="M84" s="7"/>
      <c r="N84" s="7"/>
      <c r="O84" s="7"/>
      <c r="P84" s="7"/>
      <c r="Q84" s="7"/>
      <c r="R84" s="7"/>
      <c r="S84" s="7"/>
      <c r="T84" s="7"/>
      <c r="U84" s="7"/>
      <c r="V84" s="7"/>
      <c r="W84" s="7"/>
      <c r="X84" s="7"/>
      <c r="Y84" s="7"/>
      <c r="Z84" s="125"/>
      <c r="AA84" s="176"/>
      <c r="AC84" s="237"/>
      <c r="AD84" s="49"/>
    </row>
    <row r="85" spans="2:31" ht="13.5" thickBot="1" x14ac:dyDescent="0.25">
      <c r="B85" s="48"/>
      <c r="C85" s="235"/>
      <c r="F85" s="7"/>
      <c r="G85" s="7"/>
      <c r="H85" s="125"/>
      <c r="I85" s="236"/>
      <c r="J85" s="106"/>
      <c r="L85" s="7"/>
      <c r="M85" s="7"/>
      <c r="N85" s="7"/>
      <c r="O85" s="7"/>
      <c r="P85" s="7"/>
      <c r="Q85" s="7"/>
      <c r="R85" s="7"/>
      <c r="S85" s="7"/>
      <c r="T85" s="7"/>
      <c r="U85" s="7"/>
      <c r="V85" s="7"/>
      <c r="W85" s="7"/>
      <c r="X85" s="7"/>
      <c r="Y85" s="7"/>
      <c r="Z85" s="125"/>
      <c r="AA85" s="176"/>
      <c r="AC85" s="237"/>
      <c r="AD85" s="49"/>
    </row>
    <row r="86" spans="2:31" x14ac:dyDescent="0.2">
      <c r="B86" s="48"/>
      <c r="C86" s="747" t="s">
        <v>976</v>
      </c>
      <c r="D86" s="31"/>
      <c r="E86" s="33" t="s">
        <v>485</v>
      </c>
      <c r="F86" s="82">
        <f>'Dateneingabe Mobilitäten'!G91</f>
        <v>0</v>
      </c>
      <c r="G86" s="82">
        <f>'Dateneingabe Mobilitäten'!H91</f>
        <v>0</v>
      </c>
      <c r="H86" s="31">
        <f>F86+G86</f>
        <v>0</v>
      </c>
      <c r="I86" s="31"/>
      <c r="J86" s="31"/>
      <c r="K86" s="63" t="s">
        <v>386</v>
      </c>
      <c r="L86" s="63"/>
      <c r="M86" s="63" t="s">
        <v>249</v>
      </c>
      <c r="N86" s="63"/>
      <c r="O86" s="63" t="s">
        <v>263</v>
      </c>
      <c r="P86" s="63"/>
      <c r="Q86" s="63" t="s">
        <v>247</v>
      </c>
      <c r="R86" s="63"/>
      <c r="S86" s="63" t="s">
        <v>248</v>
      </c>
      <c r="T86" s="63" t="s">
        <v>466</v>
      </c>
      <c r="U86" s="63" t="s">
        <v>550</v>
      </c>
      <c r="V86" s="60"/>
      <c r="W86" s="60"/>
      <c r="X86" s="31">
        <f>'Dateneingabe Mobilitäten'!F91</f>
        <v>0</v>
      </c>
      <c r="Y86" s="60"/>
      <c r="Z86" s="43"/>
      <c r="AA86" s="43"/>
      <c r="AB86" s="736">
        <f>'Dateneingabe Mobilitäten'!AD91</f>
        <v>0</v>
      </c>
      <c r="AC86" s="736">
        <f>'Dateneingabe Mobilitäten'!AE91</f>
        <v>0</v>
      </c>
      <c r="AD86" s="49"/>
    </row>
    <row r="87" spans="2:31" x14ac:dyDescent="0.2">
      <c r="B87" s="48"/>
      <c r="C87" s="748"/>
      <c r="E87" s="456" t="s">
        <v>252</v>
      </c>
      <c r="F87" s="100">
        <f>'Dateneingabe Mobilitäten'!G92</f>
        <v>0</v>
      </c>
      <c r="G87" s="100">
        <f>'Dateneingabe Mobilitäten'!H92</f>
        <v>0</v>
      </c>
      <c r="H87" s="11">
        <f>F87+G87</f>
        <v>0</v>
      </c>
      <c r="J87" s="29" t="s">
        <v>385</v>
      </c>
      <c r="K87" s="106">
        <f>MAX(0,J88)</f>
        <v>0</v>
      </c>
      <c r="M87" s="83">
        <f>'Dateneingabe Mobilitäten'!O90</f>
        <v>0</v>
      </c>
      <c r="O87" s="83">
        <f>'Dateneingabe Mobilitäten'!Q90</f>
        <v>0</v>
      </c>
      <c r="Q87" s="83">
        <f>'Dateneingabe Mobilitäten'!S90</f>
        <v>0</v>
      </c>
      <c r="S87" s="83">
        <f>'Dateneingabe Mobilitäten'!U90</f>
        <v>0</v>
      </c>
      <c r="T87" s="83">
        <f>'Dateneingabe Mobilitäten'!V90</f>
        <v>0</v>
      </c>
      <c r="U87" s="83">
        <f>'Dateneingabe Mobilitäten'!W90</f>
        <v>0</v>
      </c>
      <c r="W87" s="7">
        <f>M87+O87+Q87+S87+T87+U87</f>
        <v>0</v>
      </c>
      <c r="X87" s="1">
        <f>'Dateneingabe Mobilitäten'!F92</f>
        <v>0</v>
      </c>
      <c r="Y87" s="7"/>
      <c r="Z87" s="12"/>
      <c r="AA87" s="45"/>
      <c r="AB87" s="737"/>
      <c r="AC87" s="737"/>
      <c r="AD87" s="49"/>
    </row>
    <row r="88" spans="2:31" ht="13.5" thickBot="1" x14ac:dyDescent="0.25">
      <c r="B88" s="48"/>
      <c r="C88" s="749"/>
      <c r="D88" s="34"/>
      <c r="E88" s="36" t="s">
        <v>112</v>
      </c>
      <c r="F88" s="101">
        <f>'Dateneingabe Mobilitäten'!G93</f>
        <v>0</v>
      </c>
      <c r="G88" s="101">
        <f>'Dateneingabe Mobilitäten'!H93</f>
        <v>0</v>
      </c>
      <c r="H88" s="102">
        <f>F88+G88</f>
        <v>0</v>
      </c>
      <c r="I88" s="85"/>
      <c r="J88" s="86">
        <f>X88-H88</f>
        <v>0</v>
      </c>
      <c r="K88" s="34"/>
      <c r="L88" s="99"/>
      <c r="M88" s="99">
        <f>M87*-1</f>
        <v>0</v>
      </c>
      <c r="N88" s="99"/>
      <c r="O88" s="99">
        <f>O87*-1</f>
        <v>0</v>
      </c>
      <c r="P88" s="99"/>
      <c r="Q88" s="99">
        <f>Q87*-1</f>
        <v>0</v>
      </c>
      <c r="R88" s="99"/>
      <c r="S88" s="99">
        <f>S87*-1</f>
        <v>0</v>
      </c>
      <c r="T88" s="99">
        <f t="shared" ref="T88:U88" si="20">T87*-1</f>
        <v>0</v>
      </c>
      <c r="U88" s="99">
        <f t="shared" si="20"/>
        <v>0</v>
      </c>
      <c r="V88" s="99"/>
      <c r="W88" s="7">
        <f>M88+O88+Q88+S88+T88+U88</f>
        <v>0</v>
      </c>
      <c r="X88" s="99">
        <f>'Dateneingabe Mobilitäten'!F93</f>
        <v>0</v>
      </c>
      <c r="Y88" s="99">
        <f>SUM('Dateneingabe Mobilitäten'!N93:Y93)</f>
        <v>0</v>
      </c>
      <c r="Z88" s="107">
        <f>'Dateneingabe Mobilitäten'!AB91</f>
        <v>0</v>
      </c>
      <c r="AA88" s="90">
        <f>Z88-H88</f>
        <v>0</v>
      </c>
      <c r="AB88" s="738"/>
      <c r="AC88" s="738"/>
      <c r="AD88" s="49"/>
    </row>
    <row r="89" spans="2:31" ht="7.5" customHeight="1" thickBot="1" x14ac:dyDescent="0.25">
      <c r="B89" s="51"/>
      <c r="C89" s="52"/>
      <c r="D89" s="52"/>
      <c r="E89" s="53"/>
      <c r="F89" s="52"/>
      <c r="G89" s="52"/>
      <c r="H89" s="52"/>
      <c r="I89" s="52"/>
      <c r="J89" s="52"/>
      <c r="K89" s="52"/>
      <c r="L89" s="52"/>
      <c r="M89" s="52"/>
      <c r="N89" s="52"/>
      <c r="O89" s="52"/>
      <c r="P89" s="52"/>
      <c r="Q89" s="52"/>
      <c r="R89" s="52"/>
      <c r="S89" s="52"/>
      <c r="T89" s="52"/>
      <c r="U89" s="52"/>
      <c r="V89" s="52"/>
      <c r="W89" s="52"/>
      <c r="X89" s="52"/>
      <c r="Y89" s="52"/>
      <c r="Z89" s="52"/>
      <c r="AA89" s="52"/>
      <c r="AB89" s="52"/>
      <c r="AC89" s="52"/>
      <c r="AD89" s="55"/>
    </row>
    <row r="90" spans="2:31" ht="13.5" thickTop="1" x14ac:dyDescent="0.2"/>
    <row r="91" spans="2:31" ht="46.5" customHeight="1" x14ac:dyDescent="0.2">
      <c r="H91" s="127" t="s">
        <v>388</v>
      </c>
      <c r="I91" s="128"/>
      <c r="J91" s="128"/>
      <c r="K91" s="128"/>
      <c r="L91" s="128"/>
      <c r="M91" s="128"/>
      <c r="N91" s="128"/>
      <c r="O91" s="128"/>
      <c r="P91" s="128"/>
      <c r="Q91" s="128"/>
      <c r="R91" s="128"/>
      <c r="S91" s="128"/>
      <c r="T91" s="128"/>
      <c r="U91" s="128"/>
      <c r="V91" s="128"/>
      <c r="W91" s="128"/>
      <c r="X91" s="127" t="s">
        <v>282</v>
      </c>
      <c r="Y91" s="127" t="s">
        <v>389</v>
      </c>
      <c r="Z91" s="127" t="s">
        <v>266</v>
      </c>
      <c r="AA91" s="97"/>
      <c r="AB91" s="165" t="s">
        <v>418</v>
      </c>
      <c r="AC91" s="165" t="s">
        <v>786</v>
      </c>
    </row>
    <row r="92" spans="2:31" x14ac:dyDescent="0.2">
      <c r="C92" s="1" t="s">
        <v>387</v>
      </c>
      <c r="E92" s="29" t="s">
        <v>112</v>
      </c>
      <c r="H92" s="7">
        <f>'Dateneingabe Mobilitäten'!I109</f>
        <v>0</v>
      </c>
      <c r="K92" s="7">
        <f t="shared" ref="K92:K97" si="21">X92+Y92</f>
        <v>0</v>
      </c>
      <c r="L92" s="7">
        <f t="shared" ref="L92:L97" si="22">H92</f>
        <v>0</v>
      </c>
      <c r="M92" s="7">
        <f>L92-K92</f>
        <v>0</v>
      </c>
      <c r="N92" s="7"/>
      <c r="X92" s="7">
        <f>'Dateneingabe Mobilitäten'!F109</f>
        <v>0</v>
      </c>
      <c r="Y92" s="7">
        <f>Y13+Y18+Y28+Y33</f>
        <v>0</v>
      </c>
      <c r="Z92" s="7">
        <f>'Dateneingabe Mobilitäten'!AB4+'Dateneingabe Mobilitäten'!AB9+'Dateneingabe Mobilitäten'!AB19+'Dateneingabe Mobilitäten'!AB24</f>
        <v>0</v>
      </c>
      <c r="AB92" s="7">
        <f>'Dateneingabe Mobilitäten'!AD4+'Dateneingabe Mobilitäten'!AD9+'Dateneingabe Mobilitäten'!AD19+'Dateneingabe Mobilitäten'!AD24</f>
        <v>0</v>
      </c>
      <c r="AC92" s="7">
        <f>('Dateneingabe Mobilitäten'!AE4+'Dateneingabe Mobilitäten'!AE9+'Dateneingabe Mobilitäten'!AE19+'Dateneingabe Mobilitäten'!AE24)*-1</f>
        <v>0</v>
      </c>
      <c r="AE92" s="7"/>
    </row>
    <row r="93" spans="2:31" x14ac:dyDescent="0.2">
      <c r="C93" s="1" t="s">
        <v>592</v>
      </c>
      <c r="E93" s="29" t="s">
        <v>112</v>
      </c>
      <c r="H93" s="7">
        <f>'Dateneingabe Mobilitäten'!I110</f>
        <v>0</v>
      </c>
      <c r="K93" s="7">
        <f t="shared" si="21"/>
        <v>0</v>
      </c>
      <c r="L93" s="7">
        <f t="shared" si="22"/>
        <v>0</v>
      </c>
      <c r="M93" s="7">
        <f t="shared" ref="M93:M97" si="23">L93-K93</f>
        <v>0</v>
      </c>
      <c r="N93" s="7"/>
      <c r="X93" s="7">
        <f>'Dateneingabe Mobilitäten'!F110</f>
        <v>0</v>
      </c>
      <c r="Y93" s="382">
        <f>'Dateneingabe Mobilitäten'!N38+'Dateneingabe Mobilitäten'!P38+'Dateneingabe Mobilitäten'!R38+'Dateneingabe Mobilitäten'!T38+'Dateneingabe Mobilitäten'!X38+'Dateneingabe Mobilitäten'!Z38</f>
        <v>0</v>
      </c>
      <c r="Z93" s="7">
        <f>'Dateneingabe Mobilitäten'!AB37+'Dateneingabe Mobilitäten'!F35</f>
        <v>0</v>
      </c>
      <c r="AB93" s="7"/>
      <c r="AC93" s="7">
        <f>'Dateneingabe Mobilitäten'!AE34*-1</f>
        <v>0</v>
      </c>
    </row>
    <row r="94" spans="2:31" x14ac:dyDescent="0.2">
      <c r="C94" s="1" t="s">
        <v>593</v>
      </c>
      <c r="E94" s="29" t="s">
        <v>112</v>
      </c>
      <c r="H94" s="7">
        <f>'Dateneingabe Mobilitäten'!I111</f>
        <v>0</v>
      </c>
      <c r="K94" s="7">
        <f t="shared" si="21"/>
        <v>0</v>
      </c>
      <c r="L94" s="7">
        <f t="shared" si="22"/>
        <v>0</v>
      </c>
      <c r="M94" s="7">
        <f t="shared" si="23"/>
        <v>0</v>
      </c>
      <c r="N94" s="7"/>
      <c r="X94" s="7">
        <f>'Dateneingabe Mobilitäten'!F111</f>
        <v>0</v>
      </c>
      <c r="Y94" s="7">
        <f>'Dateneingabe Mobilitäten'!N47+'Dateneingabe Mobilitäten'!P47+'Dateneingabe Mobilitäten'!R47+'Dateneingabe Mobilitäten'!T47+'Dateneingabe Mobilitäten'!Z47+'Dateneingabe Mobilitäten'!O52+'Dateneingabe Mobilitäten'!Q52+'Dateneingabe Mobilitäten'!S52+'Dateneingabe Mobilitäten'!U52+'Dateneingabe Mobilitäten'!V52+'Dateneingabe Mobilitäten'!W52+'Dateneingabe Mobilitäten'!AA52</f>
        <v>0</v>
      </c>
      <c r="Z94" s="7">
        <f>'Dateneingabe Mobilitäten'!AB47+'Dateneingabe Mobilitäten'!O52+'Dateneingabe Mobilitäten'!Q52+'Dateneingabe Mobilitäten'!S52+'Dateneingabe Mobilitäten'!U52+'Dateneingabe Mobilitäten'!V52+'Dateneingabe Mobilitäten'!W52+'Dateneingabe Mobilitäten'!AA52</f>
        <v>0</v>
      </c>
      <c r="AB94" s="7">
        <f>'Dateneingabe Mobilitäten'!AD45</f>
        <v>0</v>
      </c>
      <c r="AC94" s="7">
        <f>'Dateneingabe Mobilitäten'!AE45*-1</f>
        <v>0</v>
      </c>
    </row>
    <row r="95" spans="2:31" x14ac:dyDescent="0.2">
      <c r="C95" s="1" t="s">
        <v>591</v>
      </c>
      <c r="E95" s="29" t="s">
        <v>112</v>
      </c>
      <c r="H95" s="7">
        <f>'Dateneingabe Mobilitäten'!I112</f>
        <v>0</v>
      </c>
      <c r="K95" s="7">
        <f t="shared" si="21"/>
        <v>0</v>
      </c>
      <c r="L95" s="7">
        <f t="shared" si="22"/>
        <v>0</v>
      </c>
      <c r="M95" s="7">
        <f t="shared" si="23"/>
        <v>0</v>
      </c>
      <c r="N95" s="7"/>
      <c r="X95" s="7">
        <f>'Dateneingabe Mobilitäten'!F112</f>
        <v>0</v>
      </c>
      <c r="Y95" s="7">
        <f>'Dateneingabe Mobilitäten'!N56+'Dateneingabe Mobilitäten'!P56+'Dateneingabe Mobilitäten'!R56+'Dateneingabe Mobilitäten'!T56+'Dateneingabe Mobilitäten'!X56+'Dateneingabe Mobilitäten'!Z56</f>
        <v>0</v>
      </c>
      <c r="Z95" s="7">
        <f>'Dateneingabe Mobilitäten'!AB56</f>
        <v>0</v>
      </c>
      <c r="AB95" s="7"/>
      <c r="AC95" s="7">
        <f>'Dateneingabe Mobilitäten'!AE54*-1</f>
        <v>0</v>
      </c>
    </row>
    <row r="96" spans="2:31" x14ac:dyDescent="0.2">
      <c r="C96" s="1" t="s">
        <v>279</v>
      </c>
      <c r="E96" s="29" t="s">
        <v>112</v>
      </c>
      <c r="H96" s="7">
        <f>'Dateneingabe Mobilitäten'!I113</f>
        <v>0</v>
      </c>
      <c r="K96" s="7">
        <f t="shared" si="21"/>
        <v>0</v>
      </c>
      <c r="L96" s="7">
        <f t="shared" si="22"/>
        <v>0</v>
      </c>
      <c r="M96" s="7">
        <f t="shared" si="23"/>
        <v>0</v>
      </c>
      <c r="N96" s="7"/>
      <c r="X96" s="7">
        <f>'Dateneingabe Mobilitäten'!F113</f>
        <v>0</v>
      </c>
      <c r="Y96" s="7">
        <f>'Dateneingabe Mobilitäten'!N93+'Dateneingabe Mobilitäten'!O93+'Dateneingabe Mobilitäten'!P93+'Dateneingabe Mobilitäten'!Q93+'Dateneingabe Mobilitäten'!R93+'Dateneingabe Mobilitäten'!S93+'Dateneingabe Mobilitäten'!T93+'Dateneingabe Mobilitäten'!U93+'Dateneingabe Mobilitäten'!V93+'Dateneingabe Mobilitäten'!W93+'Dateneingabe Mobilitäten'!X93+'Dateneingabe Mobilitäten'!Y93</f>
        <v>0</v>
      </c>
      <c r="Z96" s="7">
        <f>'Dateneingabe Mobilitäten'!AB91</f>
        <v>0</v>
      </c>
      <c r="AB96" s="7">
        <f>'Dateneingabe Mobilitäten'!AD91</f>
        <v>0</v>
      </c>
      <c r="AC96" s="7">
        <f>'Dateneingabe Mobilitäten'!AE91*-1</f>
        <v>0</v>
      </c>
    </row>
    <row r="97" spans="3:30" x14ac:dyDescent="0.2">
      <c r="C97" s="1" t="s">
        <v>113</v>
      </c>
      <c r="E97" s="29" t="s">
        <v>112</v>
      </c>
      <c r="H97" s="7">
        <f>SUM(H92:H96)</f>
        <v>0</v>
      </c>
      <c r="K97" s="7">
        <f t="shared" si="21"/>
        <v>0</v>
      </c>
      <c r="L97" s="7">
        <f t="shared" si="22"/>
        <v>0</v>
      </c>
      <c r="M97" s="7">
        <f t="shared" si="23"/>
        <v>0</v>
      </c>
      <c r="N97" s="7"/>
      <c r="X97" s="7">
        <f>SUM(X92:X96)</f>
        <v>0</v>
      </c>
      <c r="Y97" s="7">
        <f>SUM(Y92:Y96)</f>
        <v>0</v>
      </c>
      <c r="Z97" s="7">
        <f>SUM(Z92:Z96)</f>
        <v>0</v>
      </c>
      <c r="AA97" s="7">
        <f>AA13+AA18+AA28+AA33+AA52+AA82+AA62+AA66+AA70+AA74+AA78+Z56</f>
        <v>0</v>
      </c>
      <c r="AB97" s="7">
        <f>SUM(AB92:AB96)</f>
        <v>0</v>
      </c>
      <c r="AC97" s="7">
        <f>SUM(AC92:AC96)</f>
        <v>0</v>
      </c>
    </row>
    <row r="98" spans="3:30" x14ac:dyDescent="0.2">
      <c r="AD98" s="7" t="e">
        <f>AA13+AA18+AA28+AA33+AA52+#REF!+AA62+AA66+AA70+AA74+AA78</f>
        <v>#REF!</v>
      </c>
    </row>
    <row r="99" spans="3:30" x14ac:dyDescent="0.2">
      <c r="C99" s="303" t="str">
        <f>Steuerung!U4</f>
        <v>Ben_InRe1-KA131_Call2023_v2023-09-14_frei_mgr</v>
      </c>
      <c r="X99" s="7"/>
    </row>
    <row r="100" spans="3:30" x14ac:dyDescent="0.2">
      <c r="H100" s="7"/>
      <c r="M100" s="7"/>
      <c r="X100" s="7"/>
      <c r="AB100" s="7"/>
    </row>
  </sheetData>
  <sheetProtection algorithmName="SHA-512" hashValue="w/Wx5HmyclxT4+DaqfzMOxYQZ5B57S5QSX4raDM2PPuZqPdZoUFLh705MNY/kRTAi46FCGPAyvfg/bAL9tf2yw==" saltValue="b8UWprPtiBKcgl5mUtHCyw==" spinCount="100000" sheet="1" objects="1" scenarios="1"/>
  <mergeCells count="51">
    <mergeCell ref="AC86:AC88"/>
    <mergeCell ref="C80:C82"/>
    <mergeCell ref="AC80:AC82"/>
    <mergeCell ref="AB80:AB82"/>
    <mergeCell ref="AB64:AB66"/>
    <mergeCell ref="AB68:AB70"/>
    <mergeCell ref="AB72:AB74"/>
    <mergeCell ref="AB76:AB78"/>
    <mergeCell ref="C86:C88"/>
    <mergeCell ref="AB86:AB88"/>
    <mergeCell ref="C35:C36"/>
    <mergeCell ref="AB35:AB36"/>
    <mergeCell ref="AC35:AC36"/>
    <mergeCell ref="AC76:AC78"/>
    <mergeCell ref="AC64:AC66"/>
    <mergeCell ref="AC68:AC70"/>
    <mergeCell ref="AC72:AC74"/>
    <mergeCell ref="C48:C52"/>
    <mergeCell ref="C54:C56"/>
    <mergeCell ref="AC60:AC62"/>
    <mergeCell ref="C60:C62"/>
    <mergeCell ref="C64:C66"/>
    <mergeCell ref="C68:C70"/>
    <mergeCell ref="C72:C74"/>
    <mergeCell ref="C76:C78"/>
    <mergeCell ref="AB60:AB62"/>
    <mergeCell ref="C30:C33"/>
    <mergeCell ref="B5:AD5"/>
    <mergeCell ref="C15:C18"/>
    <mergeCell ref="C8:E8"/>
    <mergeCell ref="L8:W8"/>
    <mergeCell ref="C10:C13"/>
    <mergeCell ref="AB10:AB13"/>
    <mergeCell ref="AC10:AC13"/>
    <mergeCell ref="AC6:AD6"/>
    <mergeCell ref="C20:C21"/>
    <mergeCell ref="AB20:AB21"/>
    <mergeCell ref="AC20:AC21"/>
    <mergeCell ref="C25:C28"/>
    <mergeCell ref="AB25:AB28"/>
    <mergeCell ref="AC25:AC28"/>
    <mergeCell ref="AB15:AB18"/>
    <mergeCell ref="AC15:AC18"/>
    <mergeCell ref="AC54:AC56"/>
    <mergeCell ref="AB48:AB52"/>
    <mergeCell ref="AC48:AC52"/>
    <mergeCell ref="AB30:AB33"/>
    <mergeCell ref="AC30:AC33"/>
    <mergeCell ref="AC40:AC41"/>
    <mergeCell ref="AB40:AB41"/>
    <mergeCell ref="AB43:AC44"/>
  </mergeCells>
  <conditionalFormatting sqref="AB10:AC13 AB15:AC18 AB25:AC28 AB30:AC33 AB48:AC52 AB54:AC56 AB60:AC62 AB64:AC66 AB68:AC70 AB72:AC74 AB76:AC78 AB80:AC82">
    <cfRule type="cellIs" dxfId="16" priority="2" operator="equal">
      <formula>0</formula>
    </cfRule>
  </conditionalFormatting>
  <conditionalFormatting sqref="AB86:AC88">
    <cfRule type="cellIs" dxfId="15" priority="1" operator="equal">
      <formula>0</formula>
    </cfRule>
  </conditionalFormatting>
  <dataValidations disablePrompts="1" count="10">
    <dataValidation type="custom" allowBlank="1" showInputMessage="1" showErrorMessage="1" errorTitle="Summe Umschichtungen zu hoch!" error="Es kann maximal der zur Verfügung stehende Betrag umgeschichtet werden." sqref="O12 T36:U36 T32:U32 T27:U27 T17:U17 Q12 S12:U12" xr:uid="{86542B71-4C32-45D4-85D8-E70826F3C61B}">
      <formula1>($O$12+$Q$12+$S$12)&lt;=$K$12</formula1>
    </dataValidation>
    <dataValidation type="custom" allowBlank="1" showInputMessage="1" showErrorMessage="1" errorTitle="Summe Umschichtungen zu hoch!" error="Es kann maximal der zur Verfügung stehende Betrag umgeschichtet werden." sqref="M49:M51 T55:U56 O49:O51 Q49:Q51 S77:U77 M61 O61 Q61 S49:U51 M69 O69 Q69 S65:U65 N55:N56 P55:P56 R55:R56 M65 O65 Q65 S61:U61 M73 O73 Q73 S69:U69 M77 O77 Q77 S73:U73 M81 O81 Q81 S81:U81" xr:uid="{42B33295-3B93-4794-A1B2-071EE0AD702F}">
      <formula1>($M$49+$O$49+$Q$49+$S$49)&lt;=$K$49</formula1>
    </dataValidation>
    <dataValidation type="custom" allowBlank="1" showInputMessage="1" showErrorMessage="1" errorTitle="Summe Umschichtungen zu hoch!" error="Es kann maximal der zur Verfügung stehende Betrag umgeschichtet werden." sqref="M32 O32 Q32" xr:uid="{371996D1-4F78-42FA-9539-0DAA9AD75C69}">
      <formula1>($M$32+$O$32+$Q$32)&lt;=$K$32</formula1>
    </dataValidation>
    <dataValidation type="custom" allowBlank="1" showInputMessage="1" showErrorMessage="1" errorTitle="Summe Umschichtungen zu hoch!" error="Es kann maximal der zur Verfügung stehende Betrag umgeschichtet werden." sqref="M27 S27 O27" xr:uid="{F6B5FC5E-8037-41DC-8B00-DFDCCE9A3B9A}">
      <formula1>($M$27+$O$27+$S$27)&lt;=$K$27</formula1>
    </dataValidation>
    <dataValidation type="custom" allowBlank="1" showInputMessage="1" showErrorMessage="1" errorTitle="Summe Umschichtungen zu hoch!" error="Es kann maximal der zur Verfügung stehende Betrag umgeschichtet werden." sqref="M17 S17 Q17" xr:uid="{13E5B33C-4161-43D2-9632-AAE7F07BC24E}">
      <formula1>($M$17+$Q$17+$S$17)&lt;=$K$17</formula1>
    </dataValidation>
    <dataValidation type="decimal" allowBlank="1" showInputMessage="1" showErrorMessage="1" errorTitle="Betrag zu hoch!" error="Es kann maximal der oberhalb angezeigte Betrag eingetragen werden." sqref="H50:H51 H56" xr:uid="{C47A6332-DEF5-466A-8BB5-D2A58B7FF463}">
      <formula1>0</formula1>
      <formula2>H49</formula2>
    </dataValidation>
    <dataValidation type="list" allowBlank="1" showInputMessage="1" showErrorMessage="1" sqref="C8:D8" xr:uid="{41916C77-B136-4A0C-B9EB-238FD1B744C4}">
      <formula1>E_Code</formula1>
    </dataValidation>
    <dataValidation type="custom" allowBlank="1" showInputMessage="1" showErrorMessage="1" errorTitle="Betrag zu hoch!" error="Es kann in Summe maximal die Vertragssumme eingetragen werden." sqref="G62 G74 G78:G79 G66 G70 G82:G85" xr:uid="{1837D0B6-755A-4F3A-8293-4DF739E4C9F3}">
      <formula1>(F62+G62)&lt;=X62</formula1>
    </dataValidation>
    <dataValidation type="custom" allowBlank="1" showInputMessage="1" showErrorMessage="1" errorTitle="Betrag zu hoch!" error="Es kann in Summe maximal die Vertragssumme eingetragen werden." sqref="F62 F74 F78:F79 F66 F70 F82:F85" xr:uid="{51DA2FD8-ECCC-4AFC-BDE2-A9E8E173C554}">
      <formula1>(F62+G62)&lt;=X62</formula1>
    </dataValidation>
    <dataValidation type="decimal" allowBlank="1" showInputMessage="1" showErrorMessage="1" errorTitle="Betrag zu hoch!" error="Es kann maximal der oberhalb angezeigte Betrag eingetragen werden." sqref="I52" xr:uid="{EBADC4D5-7176-4F44-8D2E-C32D41FFA5F3}">
      <formula1>0</formula1>
      <formula2>I49</formula2>
    </dataValidation>
  </dataValidations>
  <printOptions horizontalCentered="1"/>
  <pageMargins left="0.39370078740157483" right="0.31496062992125984" top="0.39370078740157483" bottom="0.2" header="0.31496062992125984" footer="0.25"/>
  <pageSetup paperSize="8" scale="84" orientation="portrait" r:id="rId1"/>
  <headerFooter>
    <oddFooter>&amp;R&amp;"Calibri,Standard"&amp;9gedruckt am: &amp;D</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8DC88-6B44-4336-88E4-9B1A8D028976}">
  <sheetPr>
    <pageSetUpPr fitToPage="1"/>
  </sheetPr>
  <dimension ref="A1:R82"/>
  <sheetViews>
    <sheetView topLeftCell="A18" zoomScale="101" zoomScaleNormal="100" zoomScaleSheetLayoutView="96" workbookViewId="0">
      <selection activeCell="L47" sqref="L47"/>
    </sheetView>
  </sheetViews>
  <sheetFormatPr baseColWidth="10" defaultColWidth="12" defaultRowHeight="12.75" x14ac:dyDescent="0.2"/>
  <cols>
    <col min="1" max="1" width="3.7109375" style="1" customWidth="1"/>
    <col min="2" max="2" width="17.5703125" style="1" customWidth="1"/>
    <col min="3" max="3" width="12.42578125" style="1" customWidth="1"/>
    <col min="4" max="4" width="6.85546875" style="1" customWidth="1"/>
    <col min="5" max="5" width="13.42578125" style="1" customWidth="1"/>
    <col min="6" max="6" width="14.42578125" style="1" customWidth="1"/>
    <col min="7" max="8" width="2.85546875" style="1" customWidth="1"/>
    <col min="9" max="9" width="2" style="1" customWidth="1"/>
    <col min="10" max="10" width="12" style="1"/>
    <col min="11" max="11" width="6.42578125" style="1" customWidth="1"/>
    <col min="12" max="12" width="10.42578125" style="1" bestFit="1" customWidth="1"/>
    <col min="13" max="13" width="10.140625" style="1" hidden="1" customWidth="1"/>
    <col min="14" max="14" width="11.140625" style="1" hidden="1" customWidth="1"/>
    <col min="15" max="15" width="9.85546875" style="1" hidden="1" customWidth="1"/>
    <col min="16" max="16" width="8.140625" style="1" hidden="1" customWidth="1"/>
    <col min="17" max="17" width="5.42578125" style="1" hidden="1" customWidth="1"/>
    <col min="18" max="18" width="1.85546875" style="1" hidden="1" customWidth="1"/>
    <col min="19" max="19" width="0" style="1" hidden="1" customWidth="1"/>
    <col min="20" max="16384" width="12" style="1"/>
  </cols>
  <sheetData>
    <row r="1" spans="1:13" ht="66.75" customHeight="1" x14ac:dyDescent="0.2">
      <c r="L1" s="240"/>
    </row>
    <row r="2" spans="1:13" ht="55.5" customHeight="1" x14ac:dyDescent="0.2">
      <c r="A2" s="69"/>
      <c r="B2" s="774" t="str">
        <f>Steuerung!U5&amp;" - Erklärung über die Verwendung der bisherigen Vorauszahlung(en)
"&amp;Steuerung!U8&amp;"
"&amp;Steuerung!U6</f>
        <v>1.  Z W I S C H E N B E R I C H T - Erklärung über die Verwendung der bisherigen Vorauszahlung(en)
MOBILITÄTSPROJEKTE FÜR STUDIERENDE UND HOCHSCHULPERSONAL (KA131)
Call 2023</v>
      </c>
      <c r="C2" s="775"/>
      <c r="D2" s="775"/>
      <c r="E2" s="775"/>
      <c r="F2" s="775"/>
      <c r="G2" s="775"/>
      <c r="H2" s="775"/>
      <c r="I2" s="775"/>
      <c r="J2" s="775"/>
      <c r="K2" s="775"/>
      <c r="L2" s="776"/>
      <c r="M2" s="179"/>
    </row>
    <row r="3" spans="1:13" ht="9" customHeight="1" x14ac:dyDescent="0.2">
      <c r="A3" s="180"/>
      <c r="L3" s="241" t="str">
        <f>Erklärung!J6</f>
        <v>1.1.0.e</v>
      </c>
    </row>
    <row r="4" spans="1:13" s="150" customFormat="1" ht="15" customHeight="1" x14ac:dyDescent="0.2">
      <c r="A4" s="242"/>
      <c r="B4" s="777" t="s">
        <v>444</v>
      </c>
      <c r="C4" s="777"/>
      <c r="D4" s="777"/>
      <c r="E4" s="777"/>
      <c r="F4" s="778" t="str">
        <f>'Dateneingabe Mobilitäten'!C1&amp;" / "&amp;VLOOKUP('Dateneingabe Mobilitäten'!C1,Daten!$A$2:$CF$78,3,0)</f>
        <v xml:space="preserve">&lt;-- Bitte Erasmus Code auswählen --&gt; / </v>
      </c>
      <c r="G4" s="778"/>
      <c r="H4" s="778"/>
      <c r="I4" s="778"/>
      <c r="J4" s="778"/>
      <c r="K4" s="778"/>
      <c r="L4" s="778"/>
      <c r="M4" s="243"/>
    </row>
    <row r="5" spans="1:13" s="150" customFormat="1" ht="33.75" customHeight="1" x14ac:dyDescent="0.2">
      <c r="A5" s="242"/>
      <c r="B5" s="777" t="s">
        <v>1</v>
      </c>
      <c r="C5" s="777"/>
      <c r="D5" s="777"/>
      <c r="E5" s="777"/>
      <c r="F5" s="779">
        <f>VLOOKUP('Dateneingabe Mobilitäten'!C1,Daten!$A$2:$CF$78,2,0)</f>
        <v>0</v>
      </c>
      <c r="G5" s="779"/>
      <c r="H5" s="779"/>
      <c r="I5" s="779"/>
      <c r="J5" s="779"/>
      <c r="K5" s="779"/>
      <c r="L5" s="779"/>
      <c r="M5" s="244"/>
    </row>
    <row r="6" spans="1:13" s="150" customFormat="1" ht="15" customHeight="1" x14ac:dyDescent="0.2">
      <c r="A6" s="242"/>
      <c r="B6" s="245" t="s">
        <v>445</v>
      </c>
      <c r="C6" s="245"/>
      <c r="D6" s="245"/>
      <c r="E6" s="245"/>
      <c r="F6" s="778" t="str">
        <f>VLOOKUP('Dateneingabe Mobilitäten'!C1,Daten!$A$2:$CF$78,4,0)&amp;" / "&amp;VLOOKUP('Dateneingabe Mobilitäten'!C1,Daten!$A$2:$CF$78,5,0)</f>
        <v xml:space="preserve"> / </v>
      </c>
      <c r="G6" s="778"/>
      <c r="H6" s="778"/>
      <c r="I6" s="778"/>
      <c r="J6" s="778"/>
      <c r="K6" s="778"/>
      <c r="L6" s="778"/>
      <c r="M6" s="246"/>
    </row>
    <row r="7" spans="1:13" ht="6" customHeight="1" x14ac:dyDescent="0.2">
      <c r="A7" s="69"/>
      <c r="B7" s="13"/>
      <c r="C7" s="13"/>
      <c r="D7" s="13"/>
      <c r="E7" s="13"/>
      <c r="F7" s="97"/>
      <c r="G7" s="97"/>
      <c r="H7" s="97"/>
      <c r="I7" s="97"/>
      <c r="J7" s="97"/>
      <c r="K7" s="97"/>
      <c r="L7" s="97"/>
      <c r="M7" s="97"/>
    </row>
    <row r="8" spans="1:13" s="72" customFormat="1" ht="15" x14ac:dyDescent="0.25">
      <c r="A8" s="247"/>
      <c r="B8" s="248" t="s">
        <v>274</v>
      </c>
      <c r="C8" s="249"/>
      <c r="D8" s="249"/>
      <c r="E8" s="249"/>
      <c r="F8" s="249"/>
      <c r="G8" s="250"/>
      <c r="H8" s="250" t="s">
        <v>446</v>
      </c>
      <c r="I8" s="780">
        <f>Steuerung!O3</f>
        <v>45184</v>
      </c>
      <c r="J8" s="780"/>
      <c r="K8" s="251" t="s">
        <v>447</v>
      </c>
      <c r="L8" s="252"/>
    </row>
    <row r="9" spans="1:13" ht="6.75" customHeight="1" thickBot="1" x14ac:dyDescent="0.3">
      <c r="A9" s="180"/>
      <c r="B9" s="185"/>
      <c r="C9" s="186"/>
      <c r="D9" s="186"/>
      <c r="F9" s="187"/>
      <c r="G9" s="187"/>
      <c r="H9" s="187"/>
      <c r="I9" s="187"/>
      <c r="J9" s="187"/>
      <c r="K9" s="187"/>
    </row>
    <row r="10" spans="1:13" s="150" customFormat="1" ht="12" customHeight="1" x14ac:dyDescent="0.2">
      <c r="A10" s="253"/>
      <c r="C10" s="254"/>
      <c r="D10" s="255"/>
      <c r="E10" s="781" t="s">
        <v>276</v>
      </c>
      <c r="F10" s="781"/>
      <c r="G10" s="256"/>
      <c r="H10" s="256"/>
      <c r="I10" s="257"/>
      <c r="J10" s="781" t="s">
        <v>275</v>
      </c>
      <c r="K10" s="781"/>
      <c r="L10" s="782"/>
      <c r="M10" s="258"/>
    </row>
    <row r="11" spans="1:13" s="150" customFormat="1" ht="12" customHeight="1" x14ac:dyDescent="0.2">
      <c r="A11" s="242"/>
      <c r="C11" s="259"/>
      <c r="D11" s="245"/>
      <c r="E11" s="260" t="s">
        <v>252</v>
      </c>
      <c r="F11" s="260" t="s">
        <v>112</v>
      </c>
      <c r="G11" s="260"/>
      <c r="J11" s="261" t="s">
        <v>252</v>
      </c>
      <c r="K11" s="262"/>
      <c r="L11" s="263" t="s">
        <v>112</v>
      </c>
    </row>
    <row r="12" spans="1:13" s="264" customFormat="1" ht="12" x14ac:dyDescent="0.2">
      <c r="A12" s="242"/>
      <c r="C12" s="265" t="s">
        <v>251</v>
      </c>
      <c r="D12" s="266"/>
      <c r="E12" s="267">
        <f>'Dateneingabe Mobilitäten'!F4</f>
        <v>0</v>
      </c>
      <c r="F12" s="268">
        <f>'Dateneingabe Mobilitäten'!F7</f>
        <v>0</v>
      </c>
      <c r="G12" s="269"/>
      <c r="I12" s="270"/>
      <c r="J12" s="267">
        <f>'Dateneingabe Mobilitäten'!I4</f>
        <v>0</v>
      </c>
      <c r="K12" s="784">
        <f>'Dateneingabe Mobilitäten'!I7</f>
        <v>0</v>
      </c>
      <c r="L12" s="785"/>
    </row>
    <row r="13" spans="1:13" s="264" customFormat="1" ht="14.25" customHeight="1" x14ac:dyDescent="0.2">
      <c r="A13" s="242"/>
      <c r="C13" s="265" t="s">
        <v>253</v>
      </c>
      <c r="D13" s="266"/>
      <c r="E13" s="267">
        <f>'Dateneingabe Mobilitäten'!F9</f>
        <v>0</v>
      </c>
      <c r="F13" s="268">
        <f>'Dateneingabe Mobilitäten'!F12</f>
        <v>0</v>
      </c>
      <c r="G13" s="269"/>
      <c r="I13" s="270"/>
      <c r="J13" s="267">
        <f>'Dateneingabe Mobilitäten'!I9</f>
        <v>0</v>
      </c>
      <c r="K13" s="784">
        <f>'Dateneingabe Mobilitäten'!I12</f>
        <v>0</v>
      </c>
      <c r="L13" s="785"/>
    </row>
    <row r="14" spans="1:13" s="264" customFormat="1" ht="14.25" customHeight="1" x14ac:dyDescent="0.2">
      <c r="A14" s="242"/>
      <c r="C14" s="265" t="s">
        <v>2</v>
      </c>
      <c r="D14" s="266"/>
      <c r="E14" s="267">
        <f>'Dateneingabe Mobilitäten'!F19</f>
        <v>0</v>
      </c>
      <c r="F14" s="268">
        <f>'Dateneingabe Mobilitäten'!F22</f>
        <v>0</v>
      </c>
      <c r="G14" s="269"/>
      <c r="I14" s="270"/>
      <c r="J14" s="267">
        <f>'Dateneingabe Mobilitäten'!I19</f>
        <v>0</v>
      </c>
      <c r="K14" s="784">
        <f>'Dateneingabe Mobilitäten'!I22</f>
        <v>0</v>
      </c>
      <c r="L14" s="785"/>
    </row>
    <row r="15" spans="1:13" s="264" customFormat="1" ht="14.25" customHeight="1" x14ac:dyDescent="0.2">
      <c r="A15" s="242"/>
      <c r="C15" s="265" t="s">
        <v>3</v>
      </c>
      <c r="D15" s="266"/>
      <c r="E15" s="267">
        <f>'Dateneingabe Mobilitäten'!F24</f>
        <v>0</v>
      </c>
      <c r="F15" s="268">
        <f>'Dateneingabe Mobilitäten'!F27</f>
        <v>0</v>
      </c>
      <c r="G15" s="269"/>
      <c r="I15" s="270"/>
      <c r="J15" s="267">
        <f>'Dateneingabe Mobilitäten'!I24</f>
        <v>0</v>
      </c>
      <c r="K15" s="784">
        <f>'Dateneingabe Mobilitäten'!I27</f>
        <v>0</v>
      </c>
      <c r="L15" s="785"/>
    </row>
    <row r="16" spans="1:13" s="264" customFormat="1" ht="7.5" customHeight="1" x14ac:dyDescent="0.2">
      <c r="A16" s="242"/>
      <c r="C16" s="259"/>
      <c r="D16" s="245"/>
      <c r="E16" s="271"/>
      <c r="F16" s="271"/>
      <c r="G16" s="271"/>
      <c r="J16" s="272"/>
      <c r="K16" s="792"/>
      <c r="L16" s="793"/>
    </row>
    <row r="17" spans="1:13" s="264" customFormat="1" ht="15" customHeight="1" x14ac:dyDescent="0.2">
      <c r="A17" s="242"/>
      <c r="C17" s="265" t="s">
        <v>467</v>
      </c>
      <c r="D17" s="266"/>
      <c r="E17" s="273">
        <f>'Dateneingabe Mobilitäten'!F34</f>
        <v>0</v>
      </c>
      <c r="F17" s="268">
        <f>'Dateneingabe Mobilitäten'!F35</f>
        <v>0</v>
      </c>
      <c r="G17" s="269"/>
      <c r="I17" s="270"/>
      <c r="J17" s="273">
        <f>'Dateneingabe Mobilitäten'!I34+'Dateneingabe Mobilitäten'!I37</f>
        <v>0</v>
      </c>
      <c r="K17" s="784">
        <f>'Dateneingabe Mobilitäten'!I35+'Dateneingabe Mobilitäten'!I38</f>
        <v>0</v>
      </c>
      <c r="L17" s="785"/>
    </row>
    <row r="18" spans="1:13" s="264" customFormat="1" ht="7.5" customHeight="1" x14ac:dyDescent="0.2">
      <c r="A18" s="242"/>
      <c r="C18" s="259"/>
      <c r="D18" s="245"/>
      <c r="E18" s="271"/>
      <c r="F18" s="271"/>
      <c r="G18" s="271"/>
      <c r="J18" s="272"/>
      <c r="K18" s="792"/>
      <c r="L18" s="793"/>
    </row>
    <row r="19" spans="1:13" s="264" customFormat="1" ht="15" customHeight="1" x14ac:dyDescent="0.2">
      <c r="A19" s="242"/>
      <c r="C19" s="265" t="s">
        <v>977</v>
      </c>
      <c r="D19" s="266"/>
      <c r="E19" s="273">
        <f>'Dateneingabe Mobilitäten'!F45</f>
        <v>0</v>
      </c>
      <c r="F19" s="268">
        <f>'Dateneingabe Mobilitäten'!F46</f>
        <v>0</v>
      </c>
      <c r="G19" s="269"/>
      <c r="I19" s="270"/>
      <c r="J19" s="267">
        <f>'Dateneingabe Mobilitäten'!I45</f>
        <v>0</v>
      </c>
      <c r="K19" s="784">
        <f>'Dateneingabe Mobilitäten'!I51</f>
        <v>0</v>
      </c>
      <c r="L19" s="785"/>
    </row>
    <row r="20" spans="1:13" s="264" customFormat="1" ht="15" customHeight="1" x14ac:dyDescent="0.2">
      <c r="A20" s="242"/>
      <c r="C20" s="265" t="s">
        <v>547</v>
      </c>
      <c r="D20" s="266"/>
      <c r="E20" s="273">
        <f>'Dateneingabe Mobilitäten'!F54</f>
        <v>0</v>
      </c>
      <c r="F20" s="268">
        <f>'Dateneingabe Mobilitäten'!F55</f>
        <v>0</v>
      </c>
      <c r="G20" s="269"/>
      <c r="I20" s="270"/>
      <c r="J20" s="267">
        <f>'Dateneingabe Mobilitäten'!I54</f>
        <v>0</v>
      </c>
      <c r="K20" s="784">
        <f>'Dateneingabe Mobilitäten'!I57</f>
        <v>0</v>
      </c>
      <c r="L20" s="785"/>
    </row>
    <row r="21" spans="1:13" s="264" customFormat="1" ht="4.5" customHeight="1" x14ac:dyDescent="0.2">
      <c r="A21" s="242"/>
      <c r="C21" s="259"/>
      <c r="D21" s="245"/>
      <c r="E21" s="274"/>
      <c r="F21" s="275"/>
      <c r="G21" s="275"/>
      <c r="J21" s="271"/>
      <c r="K21" s="794"/>
      <c r="L21" s="795"/>
    </row>
    <row r="22" spans="1:13" s="264" customFormat="1" ht="12" customHeight="1" x14ac:dyDescent="0.2">
      <c r="A22" s="242"/>
      <c r="C22" s="259"/>
      <c r="D22" s="245"/>
      <c r="E22" s="20" t="s">
        <v>485</v>
      </c>
      <c r="F22" s="234" t="s">
        <v>112</v>
      </c>
      <c r="G22" s="275"/>
      <c r="J22" s="260" t="s">
        <v>485</v>
      </c>
      <c r="K22" s="796"/>
      <c r="L22" s="797"/>
    </row>
    <row r="23" spans="1:13" s="264" customFormat="1" ht="15" customHeight="1" x14ac:dyDescent="0.2">
      <c r="A23" s="242"/>
      <c r="C23" s="189" t="s">
        <v>541</v>
      </c>
      <c r="D23" s="266"/>
      <c r="E23" s="267">
        <f>'Dateneingabe Mobilitäten'!F63</f>
        <v>0</v>
      </c>
      <c r="F23" s="268">
        <f>'Dateneingabe Mobilitäten'!F65</f>
        <v>0</v>
      </c>
      <c r="G23" s="269"/>
      <c r="I23" s="270"/>
      <c r="J23" s="267">
        <f>'Dateneingabe Mobilitäten'!I63</f>
        <v>0</v>
      </c>
      <c r="K23" s="784">
        <f>'Dateneingabe Mobilitäten'!I65</f>
        <v>0</v>
      </c>
      <c r="L23" s="785"/>
    </row>
    <row r="24" spans="1:13" s="264" customFormat="1" ht="15" customHeight="1" x14ac:dyDescent="0.2">
      <c r="A24" s="242"/>
      <c r="C24" s="189" t="s">
        <v>542</v>
      </c>
      <c r="D24" s="266"/>
      <c r="E24" s="267">
        <f>'Dateneingabe Mobilitäten'!F67</f>
        <v>0</v>
      </c>
      <c r="F24" s="268">
        <f>'Dateneingabe Mobilitäten'!F69</f>
        <v>0</v>
      </c>
      <c r="G24" s="269"/>
      <c r="I24" s="270"/>
      <c r="J24" s="267">
        <f>'Dateneingabe Mobilitäten'!I67</f>
        <v>0</v>
      </c>
      <c r="K24" s="784">
        <f>'Dateneingabe Mobilitäten'!I69</f>
        <v>0</v>
      </c>
      <c r="L24" s="785"/>
    </row>
    <row r="25" spans="1:13" s="264" customFormat="1" ht="15" customHeight="1" x14ac:dyDescent="0.2">
      <c r="A25" s="242"/>
      <c r="C25" s="189" t="s">
        <v>543</v>
      </c>
      <c r="D25" s="266"/>
      <c r="E25" s="267">
        <f>'Dateneingabe Mobilitäten'!F71</f>
        <v>0</v>
      </c>
      <c r="F25" s="268">
        <f>'Dateneingabe Mobilitäten'!F73</f>
        <v>0</v>
      </c>
      <c r="G25" s="269"/>
      <c r="I25" s="270"/>
      <c r="J25" s="267">
        <f>'Dateneingabe Mobilitäten'!I71</f>
        <v>0</v>
      </c>
      <c r="K25" s="784">
        <f>'Dateneingabe Mobilitäten'!I73</f>
        <v>0</v>
      </c>
      <c r="L25" s="785"/>
    </row>
    <row r="26" spans="1:13" s="264" customFormat="1" ht="15" customHeight="1" x14ac:dyDescent="0.2">
      <c r="A26" s="242"/>
      <c r="C26" s="189" t="s">
        <v>544</v>
      </c>
      <c r="D26" s="266"/>
      <c r="E26" s="267">
        <f>'Dateneingabe Mobilitäten'!F75</f>
        <v>0</v>
      </c>
      <c r="F26" s="268">
        <f>'Dateneingabe Mobilitäten'!F77</f>
        <v>0</v>
      </c>
      <c r="G26" s="269"/>
      <c r="I26" s="270"/>
      <c r="J26" s="267">
        <f>'Dateneingabe Mobilitäten'!I75</f>
        <v>0</v>
      </c>
      <c r="K26" s="784">
        <f>'Dateneingabe Mobilitäten'!I77</f>
        <v>0</v>
      </c>
      <c r="L26" s="785"/>
    </row>
    <row r="27" spans="1:13" s="264" customFormat="1" ht="15" customHeight="1" x14ac:dyDescent="0.2">
      <c r="A27" s="242"/>
      <c r="C27" s="189" t="s">
        <v>545</v>
      </c>
      <c r="D27" s="266"/>
      <c r="E27" s="267">
        <f>'Dateneingabe Mobilitäten'!F79</f>
        <v>0</v>
      </c>
      <c r="F27" s="268">
        <f>'Dateneingabe Mobilitäten'!F81</f>
        <v>0</v>
      </c>
      <c r="G27" s="269"/>
      <c r="I27" s="270"/>
      <c r="J27" s="267">
        <f>'Dateneingabe Mobilitäten'!I79</f>
        <v>0</v>
      </c>
      <c r="K27" s="784">
        <f>'Dateneingabe Mobilitäten'!I81</f>
        <v>0</v>
      </c>
      <c r="L27" s="785"/>
    </row>
    <row r="28" spans="1:13" s="264" customFormat="1" ht="15" customHeight="1" thickBot="1" x14ac:dyDescent="0.25">
      <c r="A28" s="242"/>
      <c r="C28" s="461" t="s">
        <v>546</v>
      </c>
      <c r="D28" s="266"/>
      <c r="E28" s="464">
        <f>'Dateneingabe Mobilitäten'!F83</f>
        <v>0</v>
      </c>
      <c r="F28" s="465">
        <f>'Dateneingabe Mobilitäten'!F85</f>
        <v>0</v>
      </c>
      <c r="G28" s="269"/>
      <c r="I28" s="270"/>
      <c r="J28" s="467">
        <f>'Dateneingabe Mobilitäten'!I83</f>
        <v>0</v>
      </c>
      <c r="K28" s="788">
        <f>'Dateneingabe Mobilitäten'!I85</f>
        <v>0</v>
      </c>
      <c r="L28" s="789"/>
    </row>
    <row r="29" spans="1:13" s="264" customFormat="1" ht="15" customHeight="1" thickTop="1" x14ac:dyDescent="0.2">
      <c r="A29" s="242"/>
      <c r="C29" s="580" t="s">
        <v>975</v>
      </c>
      <c r="D29" s="266"/>
      <c r="E29" s="462">
        <f>'Dateneingabe Mobilitäten'!G91</f>
        <v>0</v>
      </c>
      <c r="F29" s="463">
        <f>'Dateneingabe Mobilitäten'!G93</f>
        <v>0</v>
      </c>
      <c r="G29" s="269"/>
      <c r="I29" s="270"/>
      <c r="J29" s="466">
        <f>'Dateneingabe Mobilitäten'!I91</f>
        <v>0</v>
      </c>
      <c r="K29" s="790">
        <f>'Dateneingabe Mobilitäten'!I93</f>
        <v>0</v>
      </c>
      <c r="L29" s="791"/>
    </row>
    <row r="30" spans="1:13" s="264" customFormat="1" ht="7.5" customHeight="1" thickBot="1" x14ac:dyDescent="0.25">
      <c r="A30" s="242"/>
      <c r="C30" s="259"/>
      <c r="D30" s="245"/>
      <c r="E30" s="245"/>
      <c r="F30" s="245"/>
      <c r="G30" s="245"/>
      <c r="H30" s="245"/>
      <c r="J30" s="276"/>
      <c r="K30" s="786"/>
      <c r="L30" s="787"/>
      <c r="M30" s="276"/>
    </row>
    <row r="31" spans="1:13" s="264" customFormat="1" ht="15" customHeight="1" thickBot="1" x14ac:dyDescent="0.25">
      <c r="A31" s="242"/>
      <c r="C31" s="277" t="s">
        <v>113</v>
      </c>
      <c r="D31" s="278"/>
      <c r="E31" s="279"/>
      <c r="F31" s="280">
        <f>SUM(F12:F28)</f>
        <v>0</v>
      </c>
      <c r="G31" s="281"/>
      <c r="H31" s="282"/>
      <c r="I31" s="283"/>
      <c r="J31" s="284"/>
      <c r="K31" s="285"/>
      <c r="L31" s="280">
        <f>K12+K13+K14+K15+K17+K19+K20+K29</f>
        <v>0</v>
      </c>
      <c r="M31" s="275"/>
    </row>
    <row r="32" spans="1:13" s="264" customFormat="1" ht="6" customHeight="1" x14ac:dyDescent="0.2">
      <c r="A32" s="242"/>
      <c r="C32" s="245"/>
      <c r="D32" s="245"/>
      <c r="E32" s="245"/>
      <c r="F32" s="275"/>
      <c r="G32" s="275"/>
      <c r="H32" s="275"/>
      <c r="J32" s="286"/>
      <c r="K32" s="286"/>
      <c r="L32" s="275"/>
      <c r="M32" s="275"/>
    </row>
    <row r="33" spans="1:18" s="264" customFormat="1" ht="6" customHeight="1" x14ac:dyDescent="0.2">
      <c r="A33" s="242"/>
      <c r="B33" s="245"/>
      <c r="C33" s="245"/>
      <c r="D33" s="245"/>
      <c r="E33" s="245"/>
      <c r="F33" s="245"/>
      <c r="G33" s="245"/>
      <c r="H33" s="245"/>
      <c r="I33" s="287"/>
      <c r="J33" s="287"/>
      <c r="K33" s="287"/>
      <c r="L33" s="288"/>
      <c r="M33" s="288"/>
    </row>
    <row r="34" spans="1:18" s="72" customFormat="1" ht="15" x14ac:dyDescent="0.25">
      <c r="A34" s="247"/>
      <c r="B34" s="251" t="s">
        <v>448</v>
      </c>
      <c r="C34" s="248"/>
      <c r="D34" s="248"/>
      <c r="E34" s="783" t="s">
        <v>449</v>
      </c>
      <c r="F34" s="783"/>
      <c r="G34" s="783"/>
      <c r="H34" s="783"/>
      <c r="I34" s="780">
        <f>Steuerung!O3</f>
        <v>45184</v>
      </c>
      <c r="J34" s="780"/>
      <c r="K34" s="251" t="s">
        <v>447</v>
      </c>
      <c r="L34" s="249"/>
      <c r="N34" s="289">
        <f>VLOOKUP('Dateneingabe Mobilitäten'!$C$1,Daten!$A$2:$CF$79,48,0)</f>
        <v>0</v>
      </c>
    </row>
    <row r="35" spans="1:18" s="264" customFormat="1" ht="6.75" customHeight="1" x14ac:dyDescent="0.2">
      <c r="A35" s="271"/>
      <c r="B35" s="271"/>
      <c r="C35" s="271"/>
      <c r="D35" s="271"/>
      <c r="E35" s="271"/>
      <c r="F35" s="271"/>
      <c r="G35" s="271"/>
      <c r="H35" s="271"/>
      <c r="I35" s="271"/>
      <c r="J35" s="271"/>
      <c r="K35" s="271"/>
      <c r="L35" s="271"/>
      <c r="M35" s="271"/>
    </row>
    <row r="36" spans="1:18" s="264" customFormat="1" ht="15" customHeight="1" x14ac:dyDescent="0.2">
      <c r="A36" s="271"/>
      <c r="C36" s="290" t="s">
        <v>283</v>
      </c>
      <c r="D36" s="290"/>
      <c r="E36" s="290"/>
      <c r="F36" s="150"/>
      <c r="G36" s="253"/>
      <c r="H36" s="253"/>
      <c r="I36" s="253"/>
      <c r="J36" s="150"/>
      <c r="K36" s="271"/>
      <c r="L36" s="151">
        <f>VLOOKUP('Dateneingabe Mobilitäten'!C1,Daten!$A$2:$CF$79,43,0)</f>
        <v>0</v>
      </c>
      <c r="M36" s="271"/>
      <c r="N36" s="271" t="s">
        <v>552</v>
      </c>
      <c r="O36" s="296">
        <v>0.7</v>
      </c>
    </row>
    <row r="37" spans="1:18" s="264" customFormat="1" ht="10.5" customHeight="1" x14ac:dyDescent="0.2">
      <c r="A37" s="271"/>
      <c r="C37" s="290"/>
      <c r="D37" s="290"/>
      <c r="E37" s="290"/>
      <c r="F37" s="150"/>
      <c r="G37" s="253"/>
      <c r="H37" s="253"/>
      <c r="I37" s="253"/>
      <c r="J37" s="150"/>
      <c r="K37" s="304"/>
      <c r="L37" s="151"/>
      <c r="M37" s="271"/>
      <c r="N37" s="271"/>
      <c r="O37" s="296"/>
    </row>
    <row r="38" spans="1:18" s="264" customFormat="1" ht="15" customHeight="1" x14ac:dyDescent="0.2">
      <c r="A38" s="271"/>
      <c r="C38" s="290" t="s">
        <v>956</v>
      </c>
      <c r="D38" s="290"/>
      <c r="E38" s="290"/>
      <c r="F38" s="150"/>
      <c r="G38" s="290"/>
      <c r="H38" s="253"/>
      <c r="I38" s="253"/>
      <c r="J38" s="150"/>
      <c r="K38" s="297" t="s">
        <v>441</v>
      </c>
      <c r="L38" s="151">
        <f>VLOOKUP('Dateneingabe Mobilitäten'!$C$1,Daten!$A$2:$CF$83,75,0)</f>
        <v>0</v>
      </c>
      <c r="M38" s="271"/>
      <c r="N38" s="291">
        <f>VLOOKUP('Dateneingabe Mobilitäten'!$C$1,Daten!$A$2:$CF$83,51,0)</f>
        <v>0</v>
      </c>
      <c r="O38" s="291">
        <f>L38*0.7</f>
        <v>0</v>
      </c>
    </row>
    <row r="39" spans="1:18" s="264" customFormat="1" ht="15" hidden="1" customHeight="1" x14ac:dyDescent="0.2">
      <c r="A39" s="271"/>
      <c r="C39" s="290"/>
      <c r="D39" s="290"/>
      <c r="E39" s="290"/>
      <c r="F39" s="150"/>
      <c r="G39" s="290" t="s">
        <v>891</v>
      </c>
      <c r="H39" s="253"/>
      <c r="I39" s="253"/>
      <c r="J39" s="150"/>
      <c r="K39" s="174" t="s">
        <v>450</v>
      </c>
      <c r="L39" s="151">
        <f>IF(K39="X",VLOOKUP('Dateneingabe Mobilitäten'!$C$1,Daten!$A$2:$CF$83,53,0),0)</f>
        <v>0</v>
      </c>
      <c r="N39" s="291">
        <f>VLOOKUP('Dateneingabe Mobilitäten'!$C$1,Daten!$A$2:$CF$83,82,0)</f>
        <v>0</v>
      </c>
      <c r="O39" s="291">
        <f>(L38+L39)*0.7</f>
        <v>0</v>
      </c>
    </row>
    <row r="40" spans="1:18" s="264" customFormat="1" ht="15" hidden="1" customHeight="1" x14ac:dyDescent="0.2">
      <c r="A40" s="271"/>
      <c r="C40" s="290"/>
      <c r="D40" s="290"/>
      <c r="E40" s="290"/>
      <c r="F40" s="150"/>
      <c r="G40" s="290" t="s">
        <v>479</v>
      </c>
      <c r="H40" s="253"/>
      <c r="I40" s="253"/>
      <c r="J40" s="150"/>
      <c r="K40" s="174" t="s">
        <v>450</v>
      </c>
      <c r="L40" s="151">
        <f>IF(K40="X",VLOOKUP('Dateneingabe Mobilitäten'!$C$1,Daten!$A$2:$CF$79,55,0),0)</f>
        <v>0</v>
      </c>
      <c r="M40" s="271"/>
      <c r="N40" s="291">
        <f>VLOOKUP('Dateneingabe Mobilitäten'!$C$1,Daten!$A$2:$CF$79,55,0)</f>
        <v>0</v>
      </c>
      <c r="O40" s="291">
        <f>(L38+L39+L40)*0.7</f>
        <v>0</v>
      </c>
    </row>
    <row r="41" spans="1:18" s="264" customFormat="1" ht="15" hidden="1" customHeight="1" x14ac:dyDescent="0.2">
      <c r="A41" s="271"/>
      <c r="C41" s="290"/>
      <c r="D41" s="290"/>
      <c r="E41" s="290"/>
      <c r="F41" s="150"/>
      <c r="G41" s="290" t="s">
        <v>480</v>
      </c>
      <c r="H41" s="253"/>
      <c r="I41" s="253"/>
      <c r="J41" s="150"/>
      <c r="K41" s="174" t="s">
        <v>450</v>
      </c>
      <c r="L41" s="151">
        <f>IF(K41="X",VLOOKUP('Dateneingabe Mobilitäten'!$C$1,Daten!$A$2:$CF$79,57,0),0)</f>
        <v>0</v>
      </c>
      <c r="M41" s="271"/>
      <c r="N41" s="291">
        <f>VLOOKUP('Dateneingabe Mobilitäten'!$C$1,Daten!$A$2:$CF$79,57,0)</f>
        <v>0</v>
      </c>
      <c r="O41" s="291">
        <f>(L38+L39+L40+L41)*0.7</f>
        <v>0</v>
      </c>
    </row>
    <row r="42" spans="1:18" s="264" customFormat="1" ht="15" hidden="1" customHeight="1" x14ac:dyDescent="0.2">
      <c r="A42" s="271"/>
      <c r="C42" s="290"/>
      <c r="D42" s="290"/>
      <c r="E42" s="290"/>
      <c r="F42" s="150"/>
      <c r="G42" s="290" t="s">
        <v>481</v>
      </c>
      <c r="H42" s="253"/>
      <c r="I42" s="253"/>
      <c r="J42" s="150"/>
      <c r="K42" s="174"/>
      <c r="L42" s="151">
        <f>IF(K42="X",VLOOKUP('Dateneingabe Mobilitäten'!$C$1,Daten!$A$2:$CF$79,59,0),0)</f>
        <v>0</v>
      </c>
      <c r="M42" s="271"/>
      <c r="N42" s="291">
        <f>VLOOKUP('Dateneingabe Mobilitäten'!$C$1,Daten!$A$2:$CF$79,59,0)</f>
        <v>0</v>
      </c>
      <c r="O42" s="291">
        <f>(L38+L39+L40+L41+L42)*0.7</f>
        <v>0</v>
      </c>
    </row>
    <row r="43" spans="1:18" s="264" customFormat="1" ht="15" hidden="1" customHeight="1" x14ac:dyDescent="0.2">
      <c r="A43" s="271"/>
      <c r="B43" s="271"/>
      <c r="C43" s="271"/>
      <c r="D43" s="271"/>
      <c r="E43" s="271"/>
      <c r="F43" s="271"/>
      <c r="G43" s="271" t="s">
        <v>451</v>
      </c>
      <c r="H43" s="271"/>
      <c r="I43" s="271"/>
      <c r="J43" s="271"/>
      <c r="K43" s="474">
        <f>COUNTIF(K38:K42,"X")</f>
        <v>1</v>
      </c>
      <c r="L43" s="292">
        <f>SUM(L38:L42)</f>
        <v>0</v>
      </c>
      <c r="M43" s="271"/>
      <c r="N43" s="292">
        <f>SUM(N38:N42)</f>
        <v>0</v>
      </c>
      <c r="O43" s="292"/>
    </row>
    <row r="44" spans="1:18" s="264" customFormat="1" ht="6" customHeight="1" x14ac:dyDescent="0.2">
      <c r="A44" s="271"/>
      <c r="B44" s="271"/>
      <c r="C44" s="271"/>
      <c r="D44" s="271"/>
      <c r="E44" s="271"/>
      <c r="F44" s="271"/>
      <c r="G44" s="271"/>
      <c r="H44" s="271"/>
      <c r="I44" s="271"/>
      <c r="J44" s="271"/>
      <c r="K44" s="271"/>
      <c r="L44" s="271"/>
      <c r="M44" s="271"/>
    </row>
    <row r="45" spans="1:18" s="264" customFormat="1" ht="15" customHeight="1" x14ac:dyDescent="0.2">
      <c r="A45" s="271"/>
      <c r="B45" s="271"/>
      <c r="C45" s="290" t="s">
        <v>452</v>
      </c>
      <c r="D45" s="290"/>
      <c r="E45" s="290"/>
      <c r="F45" s="150"/>
      <c r="G45" s="253"/>
      <c r="H45" s="253"/>
      <c r="I45" s="253"/>
      <c r="J45" s="150"/>
      <c r="K45" s="271"/>
      <c r="L45" s="271"/>
      <c r="M45" s="271"/>
    </row>
    <row r="46" spans="1:18" s="264" customFormat="1" ht="6" customHeight="1" thickBot="1" x14ac:dyDescent="0.25">
      <c r="A46" s="271"/>
      <c r="B46" s="271"/>
      <c r="C46" s="290"/>
      <c r="D46" s="290"/>
      <c r="E46" s="290"/>
      <c r="F46" s="150"/>
      <c r="G46" s="253"/>
      <c r="H46" s="253"/>
      <c r="I46" s="253"/>
      <c r="J46" s="150"/>
      <c r="K46" s="271"/>
      <c r="L46" s="271"/>
      <c r="M46" s="271"/>
    </row>
    <row r="47" spans="1:18" s="264" customFormat="1" ht="15" customHeight="1" thickBot="1" x14ac:dyDescent="0.25">
      <c r="A47" s="271"/>
      <c r="B47" s="271"/>
      <c r="C47" s="150"/>
      <c r="D47" s="290" t="s">
        <v>284</v>
      </c>
      <c r="E47" s="290"/>
      <c r="F47" s="290"/>
      <c r="G47" s="290"/>
      <c r="H47" s="150"/>
      <c r="I47" s="290"/>
      <c r="K47" s="271"/>
      <c r="L47" s="152">
        <v>0</v>
      </c>
      <c r="M47" s="271"/>
      <c r="N47" s="293" t="s">
        <v>229</v>
      </c>
    </row>
    <row r="48" spans="1:18" s="264" customFormat="1" ht="15" customHeight="1" thickBot="1" x14ac:dyDescent="0.25">
      <c r="A48" s="271"/>
      <c r="B48" s="271"/>
      <c r="D48" s="290" t="s">
        <v>894</v>
      </c>
      <c r="E48" s="245"/>
      <c r="F48" s="271"/>
      <c r="G48" s="275"/>
      <c r="I48" s="271"/>
      <c r="K48" s="271"/>
      <c r="L48" s="152">
        <v>0</v>
      </c>
      <c r="M48" s="271"/>
      <c r="N48" s="460">
        <f>ROUND(IF(L53&lt;0.7,MAX(0,N39-(L43*0.7-L51)),N39),2)</f>
        <v>0</v>
      </c>
      <c r="O48" s="264">
        <f>ROUND(IF(L53&lt;0.7,MAX(0,IF(K43=1,N39,IF(K43=2,N40,IF(K43=3,N41,IF(K43=5,N42,0))))-(L43*0.7-L51)),IF(K43=1,N39,IF(K43=2,N40,IF(K43=3,N41,IF(K43=4,N42,0))))),2)</f>
        <v>0</v>
      </c>
      <c r="R48" s="264">
        <f>IFERROR(IF(AND(L53&gt;0.7,K43=1),MIN(VLOOKUP('Dateneingabe Mobilitäten'!$C$1,Daten!$A$3:$CF$78,53,0),(L31-L43)),IF(AND(L53&gt;0.7,K43=2),MIN(VLOOKUP('Dateneingabe Mobilitäten'!$C$1,Daten!$A$3:$CF$78,55,0),(L31-L43)),IF(AND(L53&gt;0.7,K43=3),MIN(VLOOKUP('Dateneingabe Mobilitäten'!$C$1,Daten!$A$3:$CF$78,57,0),(L31-L43)),IF(AND(L53&gt;0.7,K43=4),MIN(VLOOKUP('Dateneingabe Mobilitäten'!$C$1,Daten!$A$3:$CF$78,59,0),(L31-L43)),0)))),0)</f>
        <v>0</v>
      </c>
    </row>
    <row r="49" spans="1:15" s="264" customFormat="1" ht="15" customHeight="1" thickBot="1" x14ac:dyDescent="0.25">
      <c r="A49" s="271"/>
      <c r="B49" s="271"/>
      <c r="D49" s="290" t="s">
        <v>798</v>
      </c>
      <c r="E49" s="245"/>
      <c r="F49" s="271"/>
      <c r="G49" s="275"/>
      <c r="I49" s="271"/>
      <c r="K49" s="271"/>
      <c r="L49" s="575">
        <v>0</v>
      </c>
      <c r="M49" s="271"/>
      <c r="N49" s="293" t="s">
        <v>227</v>
      </c>
    </row>
    <row r="50" spans="1:15" s="264" customFormat="1" ht="15" customHeight="1" thickBot="1" x14ac:dyDescent="0.25">
      <c r="A50" s="271"/>
      <c r="B50" s="271"/>
      <c r="D50" s="290" t="s">
        <v>895</v>
      </c>
      <c r="E50" s="245"/>
      <c r="F50" s="271"/>
      <c r="G50" s="275"/>
      <c r="I50" s="271"/>
      <c r="K50" s="271"/>
      <c r="L50" s="575">
        <v>0</v>
      </c>
      <c r="M50" s="271"/>
      <c r="N50" s="293"/>
    </row>
    <row r="51" spans="1:15" s="264" customFormat="1" ht="15" customHeight="1" x14ac:dyDescent="0.2">
      <c r="A51" s="271"/>
      <c r="B51" s="271"/>
      <c r="D51" s="245"/>
      <c r="E51" s="245"/>
      <c r="F51" s="271"/>
      <c r="G51" s="275"/>
      <c r="I51" s="271"/>
      <c r="K51" s="271"/>
      <c r="L51" s="275">
        <f>SUM(L47:L50)</f>
        <v>0</v>
      </c>
      <c r="M51" s="271"/>
      <c r="N51" s="460">
        <f>ROUND(IF(L53&lt;0.7,MAX(0,N39-(L43*0.7-L51)),N39),2)</f>
        <v>0</v>
      </c>
      <c r="O51" s="150">
        <f>ROUND(IF(L53&lt;0.7,MAX(0,IF(K43=1,N39,IF(K43=2,N40,IF(K43=3,N41,IF(K43=5,N42,0))))-(L43*0.7-L51)),IF(K43=1,N39,IF(K43=2,N40,IF(K43=3,N41,IF(K43=4,N42,0))))),2)</f>
        <v>0</v>
      </c>
    </row>
    <row r="52" spans="1:15" s="264" customFormat="1" ht="6.75" customHeight="1" x14ac:dyDescent="0.2">
      <c r="A52" s="271"/>
      <c r="B52" s="271"/>
      <c r="C52" s="271"/>
      <c r="D52" s="271"/>
      <c r="E52" s="271"/>
      <c r="F52" s="271"/>
      <c r="G52" s="271"/>
      <c r="H52" s="271"/>
      <c r="I52" s="271"/>
      <c r="J52" s="271"/>
      <c r="K52" s="271"/>
      <c r="L52" s="271"/>
      <c r="M52" s="271"/>
    </row>
    <row r="53" spans="1:15" s="264" customFormat="1" ht="15" customHeight="1" x14ac:dyDescent="0.2">
      <c r="A53" s="271"/>
      <c r="B53" s="271"/>
      <c r="C53" s="290"/>
      <c r="D53" s="271" t="s">
        <v>553</v>
      </c>
      <c r="E53" s="271"/>
      <c r="F53" s="271"/>
      <c r="G53" s="271"/>
      <c r="I53" s="271"/>
      <c r="K53" s="271"/>
      <c r="L53" s="153" t="str">
        <f>IFERROR(L51/(L43),"keine Vorauszahlung")</f>
        <v>keine Vorauszahlung</v>
      </c>
      <c r="M53" s="271"/>
    </row>
    <row r="54" spans="1:15" s="264" customFormat="1" ht="9" customHeight="1" thickBot="1" x14ac:dyDescent="0.25">
      <c r="A54" s="271"/>
      <c r="B54" s="271"/>
      <c r="C54" s="290"/>
      <c r="D54" s="271"/>
      <c r="E54" s="271"/>
      <c r="F54" s="271"/>
      <c r="G54" s="271"/>
      <c r="I54" s="271"/>
      <c r="K54" s="271"/>
      <c r="L54" s="154"/>
      <c r="M54" s="271"/>
    </row>
    <row r="55" spans="1:15" s="150" customFormat="1" ht="15.75" customHeight="1" thickBot="1" x14ac:dyDescent="0.25">
      <c r="A55" s="290"/>
      <c r="B55" s="290"/>
      <c r="C55" s="290"/>
      <c r="D55" s="298" t="s">
        <v>453</v>
      </c>
      <c r="E55" s="299"/>
      <c r="F55" s="300"/>
      <c r="G55" s="301"/>
      <c r="H55" s="301"/>
      <c r="I55" s="301"/>
      <c r="J55" s="300"/>
      <c r="K55" s="299"/>
      <c r="L55" s="302">
        <f>IF(N34="40-40-20",N48,N51)</f>
        <v>0</v>
      </c>
      <c r="M55" s="290"/>
    </row>
    <row r="56" spans="1:15" s="150" customFormat="1" ht="9" customHeight="1" x14ac:dyDescent="0.2">
      <c r="A56" s="290"/>
      <c r="B56" s="290"/>
      <c r="C56" s="290"/>
      <c r="D56" s="290"/>
      <c r="E56" s="290"/>
      <c r="G56" s="253"/>
      <c r="H56" s="253"/>
      <c r="I56" s="253"/>
      <c r="K56" s="290"/>
      <c r="M56" s="290"/>
    </row>
    <row r="57" spans="1:15" ht="15.75" x14ac:dyDescent="0.25">
      <c r="A57" s="180"/>
      <c r="B57" s="182" t="s">
        <v>287</v>
      </c>
      <c r="C57" s="183"/>
      <c r="D57" s="183"/>
      <c r="E57" s="68"/>
      <c r="F57" s="184"/>
      <c r="G57" s="184"/>
      <c r="H57" s="184"/>
      <c r="I57" s="68"/>
    </row>
    <row r="58" spans="1:15" ht="6" customHeight="1" x14ac:dyDescent="0.2">
      <c r="A58" s="180"/>
      <c r="B58" s="294"/>
      <c r="C58" s="294"/>
      <c r="D58" s="294"/>
      <c r="E58" s="294"/>
      <c r="F58" s="294"/>
      <c r="G58" s="294"/>
      <c r="H58" s="294"/>
      <c r="I58" s="294"/>
      <c r="J58" s="192"/>
      <c r="K58" s="192"/>
    </row>
    <row r="59" spans="1:15" ht="12.75" customHeight="1" x14ac:dyDescent="0.2">
      <c r="A59" s="180"/>
      <c r="B59" s="670" t="s">
        <v>382</v>
      </c>
      <c r="C59" s="670"/>
      <c r="D59" s="670"/>
      <c r="E59" s="670"/>
      <c r="F59" s="670"/>
      <c r="G59" s="670"/>
      <c r="H59" s="670"/>
      <c r="I59" s="670"/>
      <c r="J59" s="192"/>
      <c r="K59" s="192"/>
    </row>
    <row r="60" spans="1:15" ht="9" customHeight="1" thickBot="1" x14ac:dyDescent="0.25">
      <c r="A60" s="69"/>
      <c r="B60" s="295"/>
      <c r="C60" s="155"/>
      <c r="D60" s="155"/>
      <c r="E60" s="155"/>
      <c r="F60" s="155"/>
      <c r="G60" s="155"/>
      <c r="H60" s="155"/>
      <c r="I60" s="155"/>
    </row>
    <row r="61" spans="1:15" ht="20.25" customHeight="1" x14ac:dyDescent="0.2">
      <c r="A61" s="180"/>
      <c r="B61" s="156" t="s">
        <v>286</v>
      </c>
      <c r="C61" s="768"/>
      <c r="D61" s="768"/>
      <c r="E61" s="768"/>
      <c r="F61" s="769"/>
      <c r="G61" s="19"/>
      <c r="H61" s="19"/>
      <c r="I61" s="19"/>
    </row>
    <row r="62" spans="1:15" ht="26.25" customHeight="1" x14ac:dyDescent="0.2">
      <c r="A62" s="180"/>
      <c r="B62" s="157"/>
      <c r="C62" s="158"/>
      <c r="D62" s="158"/>
      <c r="E62" s="158"/>
      <c r="F62" s="12"/>
      <c r="G62" s="158"/>
      <c r="H62" s="158"/>
      <c r="I62" s="158"/>
    </row>
    <row r="63" spans="1:15" ht="15" customHeight="1" x14ac:dyDescent="0.2">
      <c r="A63" s="180"/>
      <c r="B63" s="159"/>
      <c r="C63" s="67"/>
      <c r="D63" s="68"/>
      <c r="E63" s="68"/>
      <c r="F63" s="160"/>
    </row>
    <row r="64" spans="1:15" ht="12.75" customHeight="1" x14ac:dyDescent="0.2">
      <c r="A64" s="180"/>
      <c r="B64" s="16" t="s">
        <v>138</v>
      </c>
      <c r="C64" s="161"/>
      <c r="D64" s="162"/>
      <c r="E64" s="162" t="s">
        <v>139</v>
      </c>
      <c r="F64" s="12"/>
      <c r="G64" s="66"/>
      <c r="I64" s="70"/>
    </row>
    <row r="65" spans="1:13" ht="3" customHeight="1" x14ac:dyDescent="0.2">
      <c r="A65" s="180"/>
      <c r="B65" s="9"/>
      <c r="F65" s="12"/>
      <c r="I65" s="163"/>
    </row>
    <row r="66" spans="1:13" ht="15.75" customHeight="1" thickBot="1" x14ac:dyDescent="0.25">
      <c r="A66" s="180"/>
      <c r="B66" s="164" t="s">
        <v>285</v>
      </c>
      <c r="C66" s="770"/>
      <c r="D66" s="770"/>
      <c r="E66" s="770"/>
      <c r="F66" s="771"/>
      <c r="G66" s="155"/>
      <c r="H66" s="155"/>
      <c r="I66" s="155"/>
    </row>
    <row r="67" spans="1:13" ht="5.25" customHeight="1" x14ac:dyDescent="0.25">
      <c r="A67" s="180"/>
      <c r="B67" s="185"/>
      <c r="C67" s="3"/>
      <c r="D67" s="3"/>
      <c r="E67" s="4"/>
      <c r="F67" s="4"/>
      <c r="G67" s="5"/>
      <c r="H67" s="5"/>
      <c r="I67" s="6"/>
    </row>
    <row r="68" spans="1:13" s="150" customFormat="1" ht="6" customHeight="1" x14ac:dyDescent="0.2">
      <c r="A68" s="242"/>
      <c r="B68" s="245"/>
      <c r="C68" s="245"/>
      <c r="D68" s="245"/>
      <c r="E68" s="245"/>
      <c r="F68" s="246"/>
      <c r="G68" s="246"/>
      <c r="H68" s="246"/>
      <c r="I68" s="246"/>
      <c r="J68" s="246"/>
      <c r="K68" s="246"/>
      <c r="L68" s="246"/>
      <c r="M68" s="246"/>
    </row>
    <row r="69" spans="1:13" ht="15.75" x14ac:dyDescent="0.25">
      <c r="A69" s="180"/>
      <c r="B69" s="182" t="s">
        <v>454</v>
      </c>
      <c r="C69" s="183"/>
      <c r="D69" s="183"/>
      <c r="E69" s="68"/>
      <c r="F69" s="184"/>
      <c r="G69" s="184"/>
      <c r="H69" s="184"/>
      <c r="I69" s="184"/>
      <c r="J69" s="184"/>
      <c r="K69" s="184"/>
      <c r="L69" s="68"/>
    </row>
    <row r="70" spans="1:13" ht="6" customHeight="1" x14ac:dyDescent="0.2">
      <c r="A70" s="180"/>
      <c r="B70" s="707" t="s">
        <v>793</v>
      </c>
      <c r="C70" s="708"/>
      <c r="D70" s="708"/>
      <c r="E70" s="708"/>
      <c r="F70" s="708"/>
      <c r="G70" s="708"/>
      <c r="H70" s="708"/>
      <c r="I70" s="708"/>
      <c r="J70" s="708"/>
      <c r="K70" s="708"/>
      <c r="L70" s="709"/>
      <c r="M70" s="74"/>
    </row>
    <row r="71" spans="1:13" ht="12.75" customHeight="1" x14ac:dyDescent="0.2">
      <c r="A71" s="180"/>
      <c r="B71" s="710"/>
      <c r="C71" s="670"/>
      <c r="D71" s="670"/>
      <c r="E71" s="670"/>
      <c r="F71" s="670"/>
      <c r="G71" s="670"/>
      <c r="H71" s="670"/>
      <c r="I71" s="670"/>
      <c r="J71" s="670"/>
      <c r="K71" s="670"/>
      <c r="L71" s="711"/>
      <c r="M71" s="74"/>
    </row>
    <row r="72" spans="1:13" ht="15.75" customHeight="1" x14ac:dyDescent="0.2">
      <c r="A72" s="180"/>
      <c r="B72" s="710"/>
      <c r="C72" s="670"/>
      <c r="D72" s="670"/>
      <c r="E72" s="670"/>
      <c r="F72" s="670"/>
      <c r="G72" s="670"/>
      <c r="H72" s="670"/>
      <c r="I72" s="670"/>
      <c r="J72" s="670"/>
      <c r="K72" s="670"/>
      <c r="L72" s="711"/>
      <c r="M72" s="74"/>
    </row>
    <row r="73" spans="1:13" ht="13.5" customHeight="1" x14ac:dyDescent="0.2">
      <c r="A73" s="69"/>
      <c r="B73" s="712"/>
      <c r="C73" s="713"/>
      <c r="D73" s="713"/>
      <c r="E73" s="713"/>
      <c r="F73" s="713"/>
      <c r="G73" s="713"/>
      <c r="H73" s="713"/>
      <c r="I73" s="713"/>
      <c r="J73" s="713"/>
      <c r="K73" s="713"/>
      <c r="L73" s="714"/>
      <c r="M73" s="74"/>
    </row>
    <row r="74" spans="1:13" ht="6.75" customHeight="1" thickBot="1" x14ac:dyDescent="0.25">
      <c r="A74" s="180"/>
      <c r="B74" s="149"/>
      <c r="C74" s="149"/>
      <c r="D74" s="149"/>
      <c r="E74" s="149"/>
      <c r="F74" s="149"/>
      <c r="G74" s="149"/>
      <c r="H74" s="149"/>
      <c r="I74" s="149"/>
      <c r="J74" s="149"/>
      <c r="K74" s="149"/>
      <c r="L74" s="149"/>
    </row>
    <row r="75" spans="1:13" ht="4.5" customHeight="1" x14ac:dyDescent="0.2">
      <c r="A75" s="180"/>
      <c r="B75" s="684"/>
      <c r="C75" s="652"/>
      <c r="D75" s="652"/>
      <c r="E75" s="652"/>
      <c r="F75" s="652"/>
      <c r="G75" s="652"/>
      <c r="H75" s="652"/>
      <c r="I75" s="652"/>
      <c r="J75" s="652"/>
      <c r="K75" s="652"/>
      <c r="L75" s="685"/>
      <c r="M75" s="178"/>
    </row>
    <row r="76" spans="1:13" ht="26.25" customHeight="1" x14ac:dyDescent="0.2">
      <c r="A76" s="180"/>
      <c r="B76" s="157"/>
      <c r="C76" s="158"/>
      <c r="D76" s="158"/>
      <c r="E76" s="158"/>
      <c r="F76" s="11"/>
      <c r="I76" s="158"/>
      <c r="J76" s="158"/>
      <c r="K76" s="158"/>
      <c r="L76" s="177"/>
      <c r="M76" s="158"/>
    </row>
    <row r="77" spans="1:13" ht="15" customHeight="1" x14ac:dyDescent="0.2">
      <c r="A77" s="180"/>
      <c r="B77" s="175"/>
      <c r="C77" s="67"/>
      <c r="D77" s="68"/>
      <c r="E77" s="8"/>
      <c r="F77" s="193"/>
      <c r="L77" s="12"/>
    </row>
    <row r="78" spans="1:13" ht="12.75" customHeight="1" x14ac:dyDescent="0.2">
      <c r="A78" s="180"/>
      <c r="B78" s="16" t="s">
        <v>138</v>
      </c>
      <c r="C78" s="688" t="s">
        <v>139</v>
      </c>
      <c r="D78" s="688"/>
      <c r="E78" s="772"/>
      <c r="F78" s="162" t="str">
        <f>IF(VLOOKUP('Dateneingabe Mobilitäten'!C1,Daten!$A$2:$CF$79,8,0)="","","Datum")</f>
        <v/>
      </c>
      <c r="G78" s="688" t="str">
        <f>IF(VLOOKUP('Dateneingabe Mobilitäten'!C1,Daten!$A$2:$CF$79,8,0)="","","Unterschrift")</f>
        <v/>
      </c>
      <c r="H78" s="688"/>
      <c r="I78" s="688"/>
      <c r="J78" s="688"/>
      <c r="K78" s="688"/>
      <c r="L78" s="773"/>
      <c r="M78" s="178"/>
    </row>
    <row r="79" spans="1:13" ht="6" customHeight="1" x14ac:dyDescent="0.2">
      <c r="A79" s="180"/>
      <c r="B79" s="9"/>
      <c r="E79" s="10"/>
      <c r="F79" s="690"/>
      <c r="G79" s="691"/>
      <c r="H79" s="691"/>
      <c r="I79" s="691"/>
      <c r="J79" s="691"/>
      <c r="K79" s="178"/>
      <c r="L79" s="194"/>
      <c r="M79" s="19"/>
    </row>
    <row r="80" spans="1:13" ht="15" customHeight="1" thickBot="1" x14ac:dyDescent="0.25">
      <c r="A80" s="180"/>
      <c r="B80" s="686" t="str">
        <f>IF(VLOOKUP('Dateneingabe Mobilitäten'!C1,Daten!$A$2:$CF$79,6,0)="","",VLOOKUP('Dateneingabe Mobilitäten'!C1,Daten!$A$2:$CF$79,6,0))</f>
        <v/>
      </c>
      <c r="C80" s="687"/>
      <c r="D80" s="687"/>
      <c r="E80" s="766"/>
      <c r="F80" s="689" t="str">
        <f>IF(VLOOKUP('Dateneingabe Mobilitäten'!C1,Daten!$A$2:$CF$79,8,0)="","",VLOOKUP('Dateneingabe Mobilitäten'!C1,Daten!$A$2:$CF$79,8,0))</f>
        <v/>
      </c>
      <c r="G80" s="687"/>
      <c r="H80" s="687"/>
      <c r="I80" s="687"/>
      <c r="J80" s="687"/>
      <c r="K80" s="687"/>
      <c r="L80" s="767"/>
      <c r="M80" s="74"/>
    </row>
    <row r="81" spans="2:2" ht="6.75" customHeight="1" x14ac:dyDescent="0.2"/>
    <row r="82" spans="2:2" x14ac:dyDescent="0.2">
      <c r="B82" s="303" t="str">
        <f>Steuerung!U4</f>
        <v>Ben_InRe1-KA131_Call2023_v2023-09-14_frei_mgr</v>
      </c>
    </row>
  </sheetData>
  <sheetProtection algorithmName="SHA-512" hashValue="T0aZqU0d0FX0EndkLDAqptzXrDuujGOigr53h+Z0TT4D4vj6+sN7zkNR43R+HtfGvr+zwkWD57ndYufRFnCCdQ==" saltValue="Xl8vtGGaoukN/v8gf9g04Q==" spinCount="100000" sheet="1" selectLockedCells="1"/>
  <mergeCells count="40">
    <mergeCell ref="K16:L16"/>
    <mergeCell ref="K18:L18"/>
    <mergeCell ref="K21:L21"/>
    <mergeCell ref="K22:L22"/>
    <mergeCell ref="K23:L23"/>
    <mergeCell ref="K17:L17"/>
    <mergeCell ref="K19:L19"/>
    <mergeCell ref="K20:L20"/>
    <mergeCell ref="K30:L30"/>
    <mergeCell ref="K28:L28"/>
    <mergeCell ref="K24:L24"/>
    <mergeCell ref="K25:L25"/>
    <mergeCell ref="K26:L26"/>
    <mergeCell ref="K27:L27"/>
    <mergeCell ref="K29:L29"/>
    <mergeCell ref="B59:I59"/>
    <mergeCell ref="B2:L2"/>
    <mergeCell ref="B4:E4"/>
    <mergeCell ref="F4:L4"/>
    <mergeCell ref="B5:E5"/>
    <mergeCell ref="F5:L5"/>
    <mergeCell ref="F6:L6"/>
    <mergeCell ref="I8:J8"/>
    <mergeCell ref="E10:F10"/>
    <mergeCell ref="J10:L10"/>
    <mergeCell ref="E34:H34"/>
    <mergeCell ref="I34:J34"/>
    <mergeCell ref="K12:L12"/>
    <mergeCell ref="K13:L13"/>
    <mergeCell ref="K14:L14"/>
    <mergeCell ref="K15:L15"/>
    <mergeCell ref="F79:J79"/>
    <mergeCell ref="B80:E80"/>
    <mergeCell ref="F80:L80"/>
    <mergeCell ref="C61:F61"/>
    <mergeCell ref="C66:F66"/>
    <mergeCell ref="B70:L73"/>
    <mergeCell ref="B75:L75"/>
    <mergeCell ref="C78:E78"/>
    <mergeCell ref="G78:L78"/>
  </mergeCells>
  <phoneticPr fontId="1" type="noConversion"/>
  <conditionalFormatting sqref="F77">
    <cfRule type="expression" dxfId="14" priority="3">
      <formula>$F$80&lt;&gt;""</formula>
    </cfRule>
  </conditionalFormatting>
  <conditionalFormatting sqref="L49">
    <cfRule type="expression" dxfId="13" priority="1">
      <formula>$F$29&gt;0</formula>
    </cfRule>
  </conditionalFormatting>
  <dataValidations disablePrompts="1" count="3">
    <dataValidation allowBlank="1" sqref="I69:M69 B3:E3 B68:H69 A68:A73 B57:J57 J60 B67:F67 A57:A60 B74:H74" xr:uid="{7CB0CB39-6CA1-4343-83F8-ED76C703DEC4}"/>
    <dataValidation type="date" allowBlank="1" showInputMessage="1" showErrorMessage="1" sqref="I34:J34 I8:J8" xr:uid="{2B4FBF20-B7F9-45BC-BF98-9658F6BBC760}">
      <formula1>44501</formula1>
      <formula2>44988</formula2>
    </dataValidation>
    <dataValidation type="list" allowBlank="1" showInputMessage="1" showErrorMessage="1" sqref="K39:K42" xr:uid="{0D78A022-E7E8-4953-B12A-5BBA0E495269}">
      <formula1>"' ,X"</formula1>
    </dataValidation>
  </dataValidations>
  <printOptions horizontalCentered="1"/>
  <pageMargins left="0.23622047244094491" right="0.27559055118110237" top="0.15748031496062992" bottom="0.23" header="0.15748031496062992" footer="0.32"/>
  <pageSetup paperSize="9" scale="80" orientation="portrait" r:id="rId1"/>
  <headerFooter alignWithMargins="0">
    <oddFooter>&amp;R&amp;"-,Standard"&amp;9gedruckt am: &amp;D</oddFooter>
  </headerFooter>
  <ignoredErrors>
    <ignoredError sqref="I34"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9E06590-9B8D-4ECD-8949-A86042E3AC89}">
            <xm:f>'Dateneingabe Mobilitäten'!$G$35+'Dateneingabe Mobilitäten'!$G$38&gt;0</xm:f>
            <x14:dxf>
              <fill>
                <patternFill>
                  <bgColor rgb="FFFFFF00"/>
                </patternFill>
              </fill>
            </x14:dxf>
          </x14:cfRule>
          <xm:sqref>L50</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37790-BA54-497A-A783-F324CCD011E9}">
  <dimension ref="A1:G33"/>
  <sheetViews>
    <sheetView workbookViewId="0">
      <selection activeCell="F25" sqref="F25"/>
    </sheetView>
  </sheetViews>
  <sheetFormatPr baseColWidth="10" defaultRowHeight="12.75" x14ac:dyDescent="0.2"/>
  <sheetData>
    <row r="1" spans="1:5" x14ac:dyDescent="0.2">
      <c r="C1" s="21" t="s">
        <v>257</v>
      </c>
      <c r="D1" s="21" t="s">
        <v>112</v>
      </c>
    </row>
    <row r="2" spans="1:5" x14ac:dyDescent="0.2">
      <c r="C2" s="21"/>
      <c r="D2" s="21"/>
    </row>
    <row r="3" spans="1:5" x14ac:dyDescent="0.2">
      <c r="A3" s="21" t="s">
        <v>254</v>
      </c>
    </row>
    <row r="4" spans="1:5" x14ac:dyDescent="0.2">
      <c r="B4" s="21" t="str">
        <f>B17</f>
        <v>SMS</v>
      </c>
      <c r="C4">
        <f>'Dateneingabe Mobilitäten'!F4</f>
        <v>0</v>
      </c>
    </row>
    <row r="5" spans="1:5" x14ac:dyDescent="0.2">
      <c r="B5" s="21" t="str">
        <f>B18</f>
        <v>SMT</v>
      </c>
      <c r="C5">
        <f>'Dateneingabe Mobilitäten'!F9</f>
        <v>0</v>
      </c>
    </row>
    <row r="6" spans="1:5" x14ac:dyDescent="0.2">
      <c r="B6" s="21" t="str">
        <f>B19</f>
        <v>STA</v>
      </c>
      <c r="C6">
        <f>'Dateneingabe Mobilitäten'!F19</f>
        <v>0</v>
      </c>
    </row>
    <row r="7" spans="1:5" x14ac:dyDescent="0.2">
      <c r="B7" s="21" t="str">
        <f>B20</f>
        <v>STT</v>
      </c>
      <c r="C7">
        <f>'Dateneingabe Mobilitäten'!F24</f>
        <v>0</v>
      </c>
    </row>
    <row r="8" spans="1:5" x14ac:dyDescent="0.2">
      <c r="C8" s="21">
        <f>SUM(C4:C7)</f>
        <v>0</v>
      </c>
    </row>
    <row r="10" spans="1:5" x14ac:dyDescent="0.2">
      <c r="A10" s="21" t="str">
        <f>A27</f>
        <v>OS Mob&lt;100</v>
      </c>
      <c r="B10">
        <f>B27</f>
        <v>400</v>
      </c>
      <c r="C10">
        <f>IF(C8&lt;=100,C8,100)</f>
        <v>0</v>
      </c>
      <c r="D10" s="24">
        <f>B10*C10</f>
        <v>0</v>
      </c>
    </row>
    <row r="11" spans="1:5" x14ac:dyDescent="0.2">
      <c r="A11" s="21" t="str">
        <f>A28</f>
        <v>OS Mob&gt;100</v>
      </c>
      <c r="B11">
        <f>B28</f>
        <v>230</v>
      </c>
      <c r="C11">
        <f>IF(C8&gt;100,C8-100,0)</f>
        <v>0</v>
      </c>
      <c r="D11" s="24">
        <f>B11*C11</f>
        <v>0</v>
      </c>
    </row>
    <row r="12" spans="1:5" x14ac:dyDescent="0.2">
      <c r="C12">
        <f>SUM(C10:C11)</f>
        <v>0</v>
      </c>
      <c r="D12" s="24">
        <f>SUM(D10:D11)</f>
        <v>0</v>
      </c>
      <c r="E12" s="25" t="e">
        <f>'Dateneingabe Mobilitäten'!#REF!</f>
        <v>#REF!</v>
      </c>
    </row>
    <row r="13" spans="1:5" x14ac:dyDescent="0.2">
      <c r="D13" s="24">
        <f>D30</f>
        <v>0</v>
      </c>
    </row>
    <row r="14" spans="1:5" x14ac:dyDescent="0.2">
      <c r="B14" s="21" t="str">
        <f>B31</f>
        <v>OS</v>
      </c>
      <c r="C14" s="23">
        <f>C12</f>
        <v>0</v>
      </c>
      <c r="D14" s="326">
        <f>D12</f>
        <v>0</v>
      </c>
    </row>
    <row r="16" spans="1:5" x14ac:dyDescent="0.2">
      <c r="A16" s="21" t="s">
        <v>258</v>
      </c>
    </row>
    <row r="17" spans="1:7" x14ac:dyDescent="0.2">
      <c r="B17" s="21" t="s">
        <v>251</v>
      </c>
      <c r="C17">
        <f>'Dateneingabe Mobilitäten'!I4</f>
        <v>0</v>
      </c>
    </row>
    <row r="18" spans="1:7" x14ac:dyDescent="0.2">
      <c r="B18" s="21" t="s">
        <v>253</v>
      </c>
      <c r="C18">
        <f>'Dateneingabe Mobilitäten'!I9</f>
        <v>0</v>
      </c>
    </row>
    <row r="19" spans="1:7" x14ac:dyDescent="0.2">
      <c r="B19" s="21" t="s">
        <v>2</v>
      </c>
      <c r="C19">
        <f>'Dateneingabe Mobilitäten'!I19</f>
        <v>0</v>
      </c>
    </row>
    <row r="20" spans="1:7" x14ac:dyDescent="0.2">
      <c r="B20" s="21" t="s">
        <v>3</v>
      </c>
      <c r="C20">
        <f>'Dateneingabe Mobilitäten'!I24</f>
        <v>0</v>
      </c>
    </row>
    <row r="21" spans="1:7" x14ac:dyDescent="0.2">
      <c r="C21" s="23">
        <f>SUM(C17:C20)</f>
        <v>0</v>
      </c>
    </row>
    <row r="22" spans="1:7" x14ac:dyDescent="0.2">
      <c r="C22" s="23"/>
    </row>
    <row r="23" spans="1:7" x14ac:dyDescent="0.2">
      <c r="A23" s="21" t="s">
        <v>259</v>
      </c>
      <c r="C23" s="26">
        <f>C14*0.9</f>
        <v>0</v>
      </c>
    </row>
    <row r="24" spans="1:7" x14ac:dyDescent="0.2">
      <c r="C24" s="23"/>
    </row>
    <row r="25" spans="1:7" x14ac:dyDescent="0.2">
      <c r="A25" s="21" t="s">
        <v>773</v>
      </c>
      <c r="C25" s="23">
        <f>IF(C21&lt;C23,C21,C14)</f>
        <v>0</v>
      </c>
      <c r="E25" s="315" t="s">
        <v>595</v>
      </c>
      <c r="F25" s="23">
        <f>IF(C21&lt;C23,C21,IF(C21&lt;=C14,C14,C21))</f>
        <v>0</v>
      </c>
    </row>
    <row r="27" spans="1:7" x14ac:dyDescent="0.2">
      <c r="A27" s="21" t="s">
        <v>537</v>
      </c>
      <c r="B27">
        <f>VLOOKUP(A27,OS_Betraege[#All],2,0)</f>
        <v>400</v>
      </c>
      <c r="C27">
        <f>IF(C25&lt;=100,C25,100)</f>
        <v>0</v>
      </c>
      <c r="D27" s="24">
        <f>$B$27*C27</f>
        <v>0</v>
      </c>
      <c r="F27">
        <f>IF(F25&lt;=100,F25,100)</f>
        <v>0</v>
      </c>
      <c r="G27" s="24">
        <f>$B$27*F27</f>
        <v>0</v>
      </c>
    </row>
    <row r="28" spans="1:7" x14ac:dyDescent="0.2">
      <c r="A28" s="21" t="s">
        <v>538</v>
      </c>
      <c r="B28">
        <f>VLOOKUP(A28,OS_Betraege[#All],2,0)</f>
        <v>230</v>
      </c>
      <c r="C28">
        <f>IF(C25&gt;100,C25-100,0)</f>
        <v>0</v>
      </c>
      <c r="D28" s="24">
        <f>$B$28*C28</f>
        <v>0</v>
      </c>
      <c r="F28">
        <f>IF(F25&gt;100,F25-100,0)</f>
        <v>0</v>
      </c>
      <c r="G28" s="24">
        <f>$B$28*F28</f>
        <v>0</v>
      </c>
    </row>
    <row r="29" spans="1:7" x14ac:dyDescent="0.2">
      <c r="C29">
        <f>SUM(C27:C28)</f>
        <v>0</v>
      </c>
      <c r="D29" s="24">
        <f>SUM(D27:D28)</f>
        <v>0</v>
      </c>
      <c r="F29">
        <f>SUM(F27:F28)</f>
        <v>0</v>
      </c>
      <c r="G29" s="24">
        <f>SUM(G27:G28)</f>
        <v>0</v>
      </c>
    </row>
    <row r="30" spans="1:7" x14ac:dyDescent="0.2">
      <c r="D30" s="24"/>
    </row>
    <row r="31" spans="1:7" x14ac:dyDescent="0.2">
      <c r="B31" s="21" t="s">
        <v>256</v>
      </c>
      <c r="D31" s="326">
        <f>SUM(D27:D28)</f>
        <v>0</v>
      </c>
      <c r="G31" s="24">
        <f>SUM(G27:G28)</f>
        <v>0</v>
      </c>
    </row>
    <row r="33" spans="7:7" x14ac:dyDescent="0.2">
      <c r="G33" s="136">
        <f>G31-D31</f>
        <v>0</v>
      </c>
    </row>
  </sheetData>
  <pageMargins left="0.7" right="0.7" top="0.78740157499999996" bottom="0.78740157499999996"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0AD8E-8CD6-415B-A28A-6E48CDE575FA}">
  <dimension ref="A1:CF82"/>
  <sheetViews>
    <sheetView workbookViewId="0"/>
  </sheetViews>
  <sheetFormatPr baseColWidth="10" defaultColWidth="11.42578125" defaultRowHeight="15" x14ac:dyDescent="0.25"/>
  <cols>
    <col min="1" max="1" width="16.5703125" style="17" bestFit="1" customWidth="1"/>
    <col min="2" max="2" width="42.42578125" style="17" customWidth="1"/>
    <col min="3" max="3" width="15.7109375" style="17" customWidth="1"/>
    <col min="4" max="4" width="33.5703125" style="17" bestFit="1" customWidth="1"/>
    <col min="5" max="5" width="33.5703125" style="17" customWidth="1"/>
    <col min="6" max="6" width="38.5703125" style="17" bestFit="1" customWidth="1"/>
    <col min="7" max="7" width="48.7109375" style="17" bestFit="1" customWidth="1"/>
    <col min="8" max="9" width="33.5703125" style="17" customWidth="1"/>
    <col min="10" max="10" width="16.42578125" style="17" bestFit="1" customWidth="1"/>
    <col min="11" max="11" width="18.7109375" style="17" customWidth="1"/>
    <col min="12" max="12" width="16.85546875" style="17" bestFit="1" customWidth="1"/>
    <col min="13" max="13" width="16.5703125" style="17" bestFit="1" customWidth="1"/>
    <col min="14" max="14" width="9.85546875" style="17" bestFit="1" customWidth="1"/>
    <col min="15" max="15" width="17" style="17" bestFit="1" customWidth="1"/>
    <col min="16" max="16" width="16" style="17" bestFit="1" customWidth="1"/>
    <col min="17" max="17" width="8.28515625" style="17" bestFit="1" customWidth="1"/>
    <col min="18" max="18" width="23" style="17" bestFit="1" customWidth="1"/>
    <col min="19" max="19" width="15.7109375" style="17" bestFit="1" customWidth="1"/>
    <col min="20" max="20" width="8" style="17" bestFit="1" customWidth="1"/>
    <col min="21" max="21" width="21.28515625" style="17" customWidth="1"/>
    <col min="22" max="22" width="12.140625" style="17" bestFit="1" customWidth="1"/>
    <col min="23" max="23" width="11" style="17" customWidth="1"/>
    <col min="24" max="24" width="12.140625" style="17" bestFit="1" customWidth="1"/>
    <col min="25" max="32" width="10.140625" style="17" customWidth="1"/>
    <col min="33" max="33" width="18.5703125" style="17" bestFit="1" customWidth="1"/>
    <col min="34" max="34" width="10.140625" style="17" customWidth="1"/>
    <col min="35" max="35" width="14.85546875" style="17" customWidth="1"/>
    <col min="36" max="36" width="17.85546875" style="17" customWidth="1"/>
    <col min="37" max="37" width="15.42578125" style="17" customWidth="1"/>
    <col min="38" max="38" width="15.28515625" style="17" bestFit="1" customWidth="1"/>
    <col min="39" max="39" width="15.28515625" style="17" customWidth="1"/>
    <col min="40" max="40" width="12.140625" style="17" bestFit="1" customWidth="1"/>
    <col min="41" max="42" width="14.28515625" style="18" customWidth="1"/>
    <col min="43" max="43" width="15.7109375" style="18" bestFit="1" customWidth="1"/>
    <col min="44" max="47" width="15.7109375" style="18" customWidth="1"/>
    <col min="48" max="48" width="14.5703125" style="18" customWidth="1"/>
    <col min="49" max="49" width="13.140625" style="18" bestFit="1" customWidth="1"/>
    <col min="50" max="50" width="20.28515625" style="18" bestFit="1" customWidth="1"/>
    <col min="51" max="51" width="13.28515625" style="18" bestFit="1" customWidth="1"/>
    <col min="52" max="52" width="9.140625" style="18" customWidth="1"/>
    <col min="53" max="53" width="13.28515625" style="18" bestFit="1" customWidth="1"/>
    <col min="54" max="54" width="8.5703125" style="18" customWidth="1"/>
    <col min="55" max="55" width="12.7109375" style="18" customWidth="1"/>
    <col min="56" max="56" width="7" style="18" customWidth="1"/>
    <col min="57" max="57" width="13.140625" style="18" customWidth="1"/>
    <col min="58" max="58" width="9.7109375" style="18" customWidth="1"/>
    <col min="59" max="59" width="13.140625" style="18" customWidth="1"/>
    <col min="60" max="60" width="9.7109375" style="18" customWidth="1"/>
    <col min="61" max="61" width="13.140625" style="18" customWidth="1"/>
    <col min="62" max="62" width="9.7109375" style="18" customWidth="1"/>
    <col min="63" max="63" width="13.140625" style="18" customWidth="1"/>
    <col min="64" max="64" width="9.7109375" style="17" customWidth="1"/>
    <col min="65" max="65" width="11.42578125" style="17"/>
    <col min="66" max="66" width="9.7109375" style="17" customWidth="1"/>
    <col min="67" max="67" width="6.7109375" style="17" customWidth="1"/>
    <col min="68" max="68" width="9.7109375" style="17" customWidth="1"/>
    <col min="69" max="69" width="13.5703125" style="17" customWidth="1"/>
    <col min="70" max="70" width="9.7109375" style="17" customWidth="1"/>
    <col min="71" max="71" width="11.42578125" style="17"/>
    <col min="72" max="72" width="9.7109375" style="17" customWidth="1"/>
    <col min="73" max="73" width="11.42578125" style="17"/>
    <col min="74" max="74" width="9.7109375" style="17" customWidth="1"/>
    <col min="75" max="75" width="13.140625" style="17" bestFit="1" customWidth="1"/>
    <col min="76" max="79" width="17.28515625" style="17" customWidth="1"/>
    <col min="80" max="81" width="11.42578125" style="17"/>
    <col min="82" max="82" width="11.42578125" style="215"/>
    <col min="83" max="16384" width="11.42578125" style="17"/>
  </cols>
  <sheetData>
    <row r="1" spans="1:84" x14ac:dyDescent="0.25">
      <c r="A1" s="143" t="s">
        <v>217</v>
      </c>
      <c r="B1" s="143" t="s">
        <v>218</v>
      </c>
      <c r="C1" s="143" t="s">
        <v>237</v>
      </c>
      <c r="D1" s="143" t="s">
        <v>80</v>
      </c>
      <c r="E1" s="143" t="s">
        <v>244</v>
      </c>
      <c r="F1" s="143" t="s">
        <v>240</v>
      </c>
      <c r="G1" s="143" t="s">
        <v>241</v>
      </c>
      <c r="H1" s="143" t="s">
        <v>242</v>
      </c>
      <c r="I1" s="143" t="s">
        <v>243</v>
      </c>
      <c r="J1" s="143" t="s">
        <v>219</v>
      </c>
      <c r="K1" s="143" t="s">
        <v>483</v>
      </c>
      <c r="L1" s="143" t="s">
        <v>487</v>
      </c>
      <c r="M1" s="143" t="s">
        <v>220</v>
      </c>
      <c r="N1" s="143" t="s">
        <v>484</v>
      </c>
      <c r="O1" s="143" t="s">
        <v>488</v>
      </c>
      <c r="P1" s="143" t="s">
        <v>221</v>
      </c>
      <c r="Q1" s="143" t="s">
        <v>222</v>
      </c>
      <c r="R1" s="143" t="s">
        <v>489</v>
      </c>
      <c r="S1" s="143" t="s">
        <v>223</v>
      </c>
      <c r="T1" s="143" t="s">
        <v>224</v>
      </c>
      <c r="U1" s="143" t="s">
        <v>490</v>
      </c>
      <c r="V1" s="143" t="s">
        <v>520</v>
      </c>
      <c r="W1" s="143" t="s">
        <v>491</v>
      </c>
      <c r="X1" s="143" t="s">
        <v>521</v>
      </c>
      <c r="Y1" s="143" t="s">
        <v>492</v>
      </c>
      <c r="Z1" s="143" t="s">
        <v>522</v>
      </c>
      <c r="AA1" s="143" t="s">
        <v>493</v>
      </c>
      <c r="AB1" s="143" t="s">
        <v>523</v>
      </c>
      <c r="AC1" s="143" t="s">
        <v>494</v>
      </c>
      <c r="AD1" s="143" t="s">
        <v>524</v>
      </c>
      <c r="AE1" s="143" t="s">
        <v>495</v>
      </c>
      <c r="AF1" s="143" t="s">
        <v>525</v>
      </c>
      <c r="AG1" s="143" t="s">
        <v>496</v>
      </c>
      <c r="AH1" s="143" t="s">
        <v>497</v>
      </c>
      <c r="AI1" s="143" t="s">
        <v>498</v>
      </c>
      <c r="AJ1" s="143" t="s">
        <v>499</v>
      </c>
      <c r="AK1" s="143" t="s">
        <v>500</v>
      </c>
      <c r="AL1" s="143" t="s">
        <v>501</v>
      </c>
      <c r="AM1" s="143" t="s">
        <v>502</v>
      </c>
      <c r="AN1" s="143" t="s">
        <v>503</v>
      </c>
      <c r="AO1" s="209" t="s">
        <v>225</v>
      </c>
      <c r="AP1" s="209" t="s">
        <v>504</v>
      </c>
      <c r="AQ1" s="145" t="s">
        <v>505</v>
      </c>
      <c r="AR1" s="145" t="s">
        <v>506</v>
      </c>
      <c r="AS1" s="145" t="s">
        <v>507</v>
      </c>
      <c r="AT1" s="144" t="s">
        <v>508</v>
      </c>
      <c r="AU1" s="144" t="s">
        <v>509</v>
      </c>
      <c r="AV1" s="144" t="s">
        <v>226</v>
      </c>
      <c r="AW1" s="146" t="s">
        <v>510</v>
      </c>
      <c r="AX1" s="146" t="s">
        <v>511</v>
      </c>
      <c r="AY1" s="145" t="s">
        <v>419</v>
      </c>
      <c r="AZ1" s="145" t="s">
        <v>420</v>
      </c>
      <c r="BA1" s="145" t="s">
        <v>421</v>
      </c>
      <c r="BB1" s="145" t="s">
        <v>422</v>
      </c>
      <c r="BC1" s="145" t="s">
        <v>887</v>
      </c>
      <c r="BD1" s="145" t="s">
        <v>423</v>
      </c>
      <c r="BE1" s="145" t="s">
        <v>424</v>
      </c>
      <c r="BF1" s="145" t="s">
        <v>425</v>
      </c>
      <c r="BG1" s="145" t="s">
        <v>426</v>
      </c>
      <c r="BH1" s="145" t="s">
        <v>427</v>
      </c>
      <c r="BI1" s="145" t="s">
        <v>428</v>
      </c>
      <c r="BJ1" s="145" t="s">
        <v>429</v>
      </c>
      <c r="BK1" s="145" t="s">
        <v>430</v>
      </c>
      <c r="BL1" s="145" t="s">
        <v>431</v>
      </c>
      <c r="BM1" s="145" t="s">
        <v>432</v>
      </c>
      <c r="BN1" s="145" t="s">
        <v>433</v>
      </c>
      <c r="BO1" s="145" t="s">
        <v>434</v>
      </c>
      <c r="BP1" s="145" t="s">
        <v>435</v>
      </c>
      <c r="BQ1" s="145" t="s">
        <v>436</v>
      </c>
      <c r="BR1" s="145" t="s">
        <v>437</v>
      </c>
      <c r="BS1" s="145" t="s">
        <v>394</v>
      </c>
      <c r="BT1" s="145" t="s">
        <v>438</v>
      </c>
      <c r="BU1" s="145" t="s">
        <v>395</v>
      </c>
      <c r="BV1" s="145" t="s">
        <v>439</v>
      </c>
      <c r="BW1" s="145" t="s">
        <v>440</v>
      </c>
      <c r="BX1" s="147" t="s">
        <v>512</v>
      </c>
      <c r="BY1" s="147" t="s">
        <v>888</v>
      </c>
      <c r="BZ1" s="147" t="s">
        <v>889</v>
      </c>
      <c r="CA1" s="147" t="s">
        <v>890</v>
      </c>
      <c r="CB1" s="147" t="s">
        <v>513</v>
      </c>
      <c r="CC1" s="147" t="s">
        <v>514</v>
      </c>
      <c r="CD1" s="147" t="s">
        <v>515</v>
      </c>
      <c r="CE1" s="147" t="s">
        <v>516</v>
      </c>
      <c r="CF1" s="147" t="s">
        <v>517</v>
      </c>
    </row>
    <row r="2" spans="1:84" x14ac:dyDescent="0.25">
      <c r="A2" s="170" t="s">
        <v>298</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1"/>
      <c r="AR2" s="171"/>
      <c r="AS2" s="214"/>
      <c r="AT2" s="170">
        <v>0</v>
      </c>
      <c r="AU2" s="170">
        <v>0</v>
      </c>
      <c r="AV2" s="170"/>
      <c r="AW2" s="229">
        <v>0</v>
      </c>
      <c r="AX2" s="229"/>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230"/>
      <c r="BY2" s="230"/>
      <c r="BZ2" s="230"/>
      <c r="CA2" s="230"/>
      <c r="CB2" s="230"/>
      <c r="CC2" s="230"/>
      <c r="CD2" s="229"/>
      <c r="CE2" s="170"/>
      <c r="CF2" s="170"/>
    </row>
    <row r="3" spans="1:84" x14ac:dyDescent="0.25">
      <c r="A3" s="170" t="s">
        <v>14</v>
      </c>
      <c r="B3" s="170" t="s">
        <v>81</v>
      </c>
      <c r="C3" s="170" t="s">
        <v>140</v>
      </c>
      <c r="D3" s="170" t="s">
        <v>608</v>
      </c>
      <c r="E3" s="170" t="s">
        <v>609</v>
      </c>
      <c r="F3" s="170" t="s">
        <v>885</v>
      </c>
      <c r="G3" s="170"/>
      <c r="H3" s="170"/>
      <c r="I3" s="170"/>
      <c r="J3" s="17">
        <v>0</v>
      </c>
      <c r="K3" s="17">
        <v>0</v>
      </c>
      <c r="L3" s="322">
        <v>0</v>
      </c>
      <c r="M3" s="17">
        <v>0</v>
      </c>
      <c r="N3" s="17">
        <v>0</v>
      </c>
      <c r="O3" s="322">
        <v>0</v>
      </c>
      <c r="P3" s="17">
        <v>13</v>
      </c>
      <c r="Q3" s="17">
        <v>65</v>
      </c>
      <c r="R3" s="322">
        <v>11505</v>
      </c>
      <c r="S3" s="17">
        <v>13</v>
      </c>
      <c r="T3" s="17">
        <v>65</v>
      </c>
      <c r="U3" s="322">
        <v>11505</v>
      </c>
      <c r="W3" s="322"/>
      <c r="Y3" s="322"/>
      <c r="AA3" s="322"/>
      <c r="AC3" s="322"/>
      <c r="AE3" s="322"/>
      <c r="AF3" s="322"/>
      <c r="AG3" s="322"/>
      <c r="AH3" s="322"/>
      <c r="AI3" s="322"/>
      <c r="AO3" s="322">
        <v>26</v>
      </c>
      <c r="AP3" s="322">
        <v>10400</v>
      </c>
      <c r="AQ3" s="322">
        <v>33410</v>
      </c>
      <c r="AR3" s="17">
        <v>1</v>
      </c>
      <c r="AS3" s="17">
        <v>0</v>
      </c>
      <c r="AT3" s="210"/>
      <c r="AU3" s="210"/>
      <c r="AV3" s="17" t="s">
        <v>227</v>
      </c>
      <c r="AW3" s="215"/>
      <c r="AX3" s="215">
        <v>33410</v>
      </c>
      <c r="AY3" s="148">
        <v>26728</v>
      </c>
      <c r="AZ3" s="216" t="s">
        <v>441</v>
      </c>
      <c r="BA3" s="148">
        <v>6682</v>
      </c>
      <c r="BB3" s="217"/>
      <c r="BC3" s="218"/>
      <c r="BD3" s="172"/>
      <c r="BE3" s="218"/>
      <c r="BF3" s="172"/>
      <c r="BG3" s="218"/>
      <c r="BH3" s="219"/>
      <c r="BI3" s="218"/>
      <c r="BJ3" s="219"/>
      <c r="BK3" s="218"/>
      <c r="BL3" s="219"/>
      <c r="BM3" s="218"/>
      <c r="BN3" s="219"/>
      <c r="BO3" s="218"/>
      <c r="BP3" s="219"/>
      <c r="BQ3" s="218"/>
      <c r="BR3" s="219"/>
      <c r="BS3" s="218"/>
      <c r="BT3" s="219"/>
      <c r="BU3" s="218"/>
      <c r="BV3" s="219"/>
      <c r="BW3" s="171">
        <v>26728</v>
      </c>
      <c r="BX3" s="220">
        <v>26728</v>
      </c>
      <c r="BY3" s="220">
        <v>26728</v>
      </c>
      <c r="BZ3" s="220">
        <v>0</v>
      </c>
      <c r="CA3" s="220">
        <v>26728</v>
      </c>
      <c r="CB3" s="221">
        <v>1</v>
      </c>
      <c r="CC3" s="221" t="s">
        <v>421</v>
      </c>
      <c r="CD3" s="220">
        <v>6682</v>
      </c>
      <c r="CE3" s="17">
        <v>0</v>
      </c>
      <c r="CF3" s="170"/>
    </row>
    <row r="4" spans="1:84" x14ac:dyDescent="0.25">
      <c r="A4" s="170" t="s">
        <v>15</v>
      </c>
      <c r="B4" s="170" t="s">
        <v>82</v>
      </c>
      <c r="C4" s="170" t="s">
        <v>141</v>
      </c>
      <c r="D4" s="170" t="s">
        <v>610</v>
      </c>
      <c r="E4" s="170" t="s">
        <v>611</v>
      </c>
      <c r="F4" s="170" t="s">
        <v>799</v>
      </c>
      <c r="G4" s="170"/>
      <c r="H4" s="170"/>
      <c r="I4" s="323"/>
      <c r="J4" s="17">
        <v>119</v>
      </c>
      <c r="K4" s="17">
        <v>16065</v>
      </c>
      <c r="L4" s="322">
        <v>258164.55</v>
      </c>
      <c r="M4" s="17">
        <v>14</v>
      </c>
      <c r="N4" s="17">
        <v>1694</v>
      </c>
      <c r="O4" s="322">
        <v>35286.019999999997</v>
      </c>
      <c r="P4" s="17">
        <v>21</v>
      </c>
      <c r="Q4" s="17">
        <v>105</v>
      </c>
      <c r="R4" s="322">
        <v>18585</v>
      </c>
      <c r="S4" s="17">
        <v>7</v>
      </c>
      <c r="T4" s="17">
        <v>35</v>
      </c>
      <c r="U4" s="322">
        <v>6195</v>
      </c>
      <c r="V4" s="17">
        <v>0</v>
      </c>
      <c r="W4" s="322">
        <v>0</v>
      </c>
      <c r="X4" s="17">
        <v>0</v>
      </c>
      <c r="Y4" s="322">
        <v>0</v>
      </c>
      <c r="Z4" s="17">
        <v>0</v>
      </c>
      <c r="AA4" s="322">
        <v>0</v>
      </c>
      <c r="AB4" s="17">
        <v>0</v>
      </c>
      <c r="AC4" s="322">
        <v>0</v>
      </c>
      <c r="AD4" s="17">
        <v>0</v>
      </c>
      <c r="AE4" s="322">
        <v>0</v>
      </c>
      <c r="AF4" s="322">
        <v>2</v>
      </c>
      <c r="AG4" s="322">
        <v>16000</v>
      </c>
      <c r="AH4" s="322">
        <v>40</v>
      </c>
      <c r="AI4" s="322">
        <v>16000</v>
      </c>
      <c r="AJ4" s="17">
        <v>1</v>
      </c>
      <c r="AK4" s="17">
        <v>354.5</v>
      </c>
      <c r="AL4" s="17">
        <v>1</v>
      </c>
      <c r="AM4" s="17">
        <v>100</v>
      </c>
      <c r="AO4" s="322">
        <v>161</v>
      </c>
      <c r="AP4" s="322">
        <v>54030</v>
      </c>
      <c r="AQ4" s="322">
        <v>388715.07</v>
      </c>
      <c r="AR4" s="17">
        <v>2</v>
      </c>
      <c r="AS4" s="17">
        <v>0</v>
      </c>
      <c r="AT4" s="210"/>
      <c r="AU4" s="210"/>
      <c r="AV4" s="17" t="s">
        <v>227</v>
      </c>
      <c r="AW4" s="215"/>
      <c r="AX4" s="215">
        <v>388715.07</v>
      </c>
      <c r="AY4" s="148">
        <v>310608.46000000002</v>
      </c>
      <c r="AZ4" s="216" t="s">
        <v>441</v>
      </c>
      <c r="BA4" s="148">
        <v>454.5</v>
      </c>
      <c r="BB4" s="217" t="s">
        <v>886</v>
      </c>
      <c r="BC4" s="148">
        <v>77652.11</v>
      </c>
      <c r="BD4" s="217"/>
      <c r="BE4" s="173"/>
      <c r="BF4" s="213"/>
      <c r="BG4" s="173"/>
      <c r="BH4" s="219"/>
      <c r="BI4" s="173"/>
      <c r="BJ4" s="222"/>
      <c r="BK4" s="173"/>
      <c r="BL4" s="222"/>
      <c r="BM4" s="173"/>
      <c r="BN4" s="222"/>
      <c r="BO4" s="173"/>
      <c r="BP4" s="222"/>
      <c r="BQ4" s="173"/>
      <c r="BR4" s="222"/>
      <c r="BS4" s="173"/>
      <c r="BT4" s="222"/>
      <c r="BU4" s="173"/>
      <c r="BV4" s="222"/>
      <c r="BW4" s="171">
        <v>311062.96000000002</v>
      </c>
      <c r="BX4" s="220">
        <v>311062.96000000002</v>
      </c>
      <c r="BY4" s="220">
        <v>311062.96000000002</v>
      </c>
      <c r="BZ4" s="220">
        <v>454.5</v>
      </c>
      <c r="CA4" s="220">
        <v>310608.46000000002</v>
      </c>
      <c r="CB4" s="221">
        <v>2</v>
      </c>
      <c r="CC4" s="221" t="s">
        <v>887</v>
      </c>
      <c r="CD4" s="220">
        <v>77652.11</v>
      </c>
      <c r="CE4" s="17">
        <v>0</v>
      </c>
      <c r="CF4" s="170"/>
    </row>
    <row r="5" spans="1:84" x14ac:dyDescent="0.25">
      <c r="A5" s="170" t="s">
        <v>16</v>
      </c>
      <c r="B5" s="170" t="s">
        <v>83</v>
      </c>
      <c r="C5" s="170" t="s">
        <v>142</v>
      </c>
      <c r="D5" s="170" t="s">
        <v>612</v>
      </c>
      <c r="E5" s="170" t="s">
        <v>613</v>
      </c>
      <c r="F5" s="170" t="s">
        <v>800</v>
      </c>
      <c r="G5" s="170"/>
      <c r="H5" s="170"/>
      <c r="I5" s="170"/>
      <c r="J5" s="17">
        <v>12</v>
      </c>
      <c r="K5" s="17">
        <v>1620</v>
      </c>
      <c r="L5" s="322">
        <v>26033.4</v>
      </c>
      <c r="M5" s="17">
        <v>2</v>
      </c>
      <c r="N5" s="17">
        <v>242</v>
      </c>
      <c r="O5" s="322">
        <v>5040.8599999999997</v>
      </c>
      <c r="P5" s="17">
        <v>6</v>
      </c>
      <c r="Q5" s="17">
        <v>30</v>
      </c>
      <c r="R5" s="322">
        <v>5310</v>
      </c>
      <c r="S5" s="17">
        <v>10</v>
      </c>
      <c r="T5" s="17">
        <v>50</v>
      </c>
      <c r="U5" s="322">
        <v>8850</v>
      </c>
      <c r="V5" s="17">
        <v>1</v>
      </c>
      <c r="W5" s="322">
        <v>6000</v>
      </c>
      <c r="X5" s="17">
        <v>0</v>
      </c>
      <c r="Y5" s="322">
        <v>0</v>
      </c>
      <c r="Z5" s="17">
        <v>0</v>
      </c>
      <c r="AA5" s="322">
        <v>0</v>
      </c>
      <c r="AB5" s="17">
        <v>0</v>
      </c>
      <c r="AC5" s="322">
        <v>0</v>
      </c>
      <c r="AD5" s="17">
        <v>0</v>
      </c>
      <c r="AE5" s="322">
        <v>0</v>
      </c>
      <c r="AF5" s="322">
        <v>0</v>
      </c>
      <c r="AG5" s="322">
        <v>0</v>
      </c>
      <c r="AH5" s="322">
        <v>15</v>
      </c>
      <c r="AI5" s="322">
        <v>6000</v>
      </c>
      <c r="AO5" s="322">
        <v>30</v>
      </c>
      <c r="AP5" s="322">
        <v>12000</v>
      </c>
      <c r="AQ5" s="322">
        <v>63234.26</v>
      </c>
      <c r="AR5" s="17">
        <v>1</v>
      </c>
      <c r="AS5" s="17">
        <v>0</v>
      </c>
      <c r="AT5" s="210"/>
      <c r="AU5" s="210"/>
      <c r="AV5" s="17" t="s">
        <v>227</v>
      </c>
      <c r="AW5" s="215"/>
      <c r="AX5" s="215">
        <v>63234.26</v>
      </c>
      <c r="AY5" s="148">
        <v>50587.41</v>
      </c>
      <c r="AZ5" s="216" t="s">
        <v>441</v>
      </c>
      <c r="BA5" s="148">
        <v>12646.85</v>
      </c>
      <c r="BB5" s="217"/>
      <c r="BC5" s="173"/>
      <c r="BD5" s="223"/>
      <c r="BE5" s="173"/>
      <c r="BF5" s="213"/>
      <c r="BG5" s="173"/>
      <c r="BH5" s="219"/>
      <c r="BI5" s="173"/>
      <c r="BJ5" s="222"/>
      <c r="BK5" s="173"/>
      <c r="BL5" s="222"/>
      <c r="BM5" s="173"/>
      <c r="BN5" s="222"/>
      <c r="BO5" s="173"/>
      <c r="BP5" s="222"/>
      <c r="BQ5" s="173"/>
      <c r="BR5" s="222"/>
      <c r="BS5" s="173"/>
      <c r="BT5" s="222"/>
      <c r="BU5" s="173"/>
      <c r="BV5" s="222"/>
      <c r="BW5" s="171">
        <v>50587.41</v>
      </c>
      <c r="BX5" s="220">
        <v>50587.41</v>
      </c>
      <c r="BY5" s="220">
        <v>50587.41</v>
      </c>
      <c r="BZ5" s="220">
        <v>0</v>
      </c>
      <c r="CA5" s="220">
        <v>50587.41</v>
      </c>
      <c r="CB5" s="221">
        <v>1</v>
      </c>
      <c r="CC5" s="221" t="s">
        <v>421</v>
      </c>
      <c r="CD5" s="220">
        <v>12646.85</v>
      </c>
      <c r="CE5" s="17">
        <v>0</v>
      </c>
      <c r="CF5" s="170"/>
    </row>
    <row r="6" spans="1:84" x14ac:dyDescent="0.25">
      <c r="A6" s="170" t="s">
        <v>17</v>
      </c>
      <c r="B6" s="170" t="s">
        <v>114</v>
      </c>
      <c r="C6" s="170" t="s">
        <v>143</v>
      </c>
      <c r="D6" s="170" t="s">
        <v>614</v>
      </c>
      <c r="E6" s="170" t="s">
        <v>615</v>
      </c>
      <c r="F6" s="170" t="s">
        <v>801</v>
      </c>
      <c r="G6" s="170"/>
      <c r="H6" s="170"/>
      <c r="I6" s="170"/>
      <c r="J6" s="17">
        <v>35</v>
      </c>
      <c r="K6" s="17">
        <v>4725</v>
      </c>
      <c r="L6" s="322">
        <v>75930.75</v>
      </c>
      <c r="M6" s="17">
        <v>26</v>
      </c>
      <c r="N6" s="17">
        <v>3146</v>
      </c>
      <c r="O6" s="322">
        <v>65531.18</v>
      </c>
      <c r="P6" s="17">
        <v>10</v>
      </c>
      <c r="Q6" s="17">
        <v>50</v>
      </c>
      <c r="R6" s="322">
        <v>8850</v>
      </c>
      <c r="S6" s="17">
        <v>13</v>
      </c>
      <c r="T6" s="17">
        <v>65</v>
      </c>
      <c r="U6" s="322">
        <v>11505</v>
      </c>
      <c r="W6" s="322"/>
      <c r="Y6" s="322"/>
      <c r="AA6" s="322"/>
      <c r="AC6" s="322"/>
      <c r="AE6" s="322"/>
      <c r="AF6" s="322"/>
      <c r="AG6" s="322"/>
      <c r="AH6" s="322"/>
      <c r="AI6" s="322"/>
      <c r="AO6" s="322">
        <v>84</v>
      </c>
      <c r="AP6" s="322">
        <v>33600</v>
      </c>
      <c r="AQ6" s="322">
        <v>195416.93</v>
      </c>
      <c r="AR6" s="17">
        <v>1</v>
      </c>
      <c r="AS6" s="17">
        <v>0</v>
      </c>
      <c r="AT6" s="210"/>
      <c r="AU6" s="210"/>
      <c r="AV6" s="17" t="s">
        <v>227</v>
      </c>
      <c r="AW6" s="215"/>
      <c r="AX6" s="215">
        <v>195416.93</v>
      </c>
      <c r="AY6" s="148">
        <v>156333.54</v>
      </c>
      <c r="AZ6" s="216" t="s">
        <v>441</v>
      </c>
      <c r="BA6" s="148">
        <v>39083.39</v>
      </c>
      <c r="BB6" s="217"/>
      <c r="BC6" s="173"/>
      <c r="BD6" s="172"/>
      <c r="BE6" s="173"/>
      <c r="BF6" s="213"/>
      <c r="BG6" s="173"/>
      <c r="BH6" s="219"/>
      <c r="BI6" s="173"/>
      <c r="BJ6" s="222"/>
      <c r="BK6" s="173"/>
      <c r="BL6" s="222"/>
      <c r="BM6" s="173"/>
      <c r="BN6" s="222"/>
      <c r="BO6" s="173"/>
      <c r="BP6" s="222"/>
      <c r="BQ6" s="173"/>
      <c r="BR6" s="222"/>
      <c r="BS6" s="173"/>
      <c r="BT6" s="222"/>
      <c r="BU6" s="173"/>
      <c r="BV6" s="222"/>
      <c r="BW6" s="171">
        <v>156333.54</v>
      </c>
      <c r="BX6" s="220">
        <v>156333.54</v>
      </c>
      <c r="BY6" s="220">
        <v>156333.54</v>
      </c>
      <c r="BZ6" s="220">
        <v>0</v>
      </c>
      <c r="CA6" s="220">
        <v>156333.54</v>
      </c>
      <c r="CB6" s="221">
        <v>1</v>
      </c>
      <c r="CC6" s="221" t="s">
        <v>421</v>
      </c>
      <c r="CD6" s="220">
        <v>39083.39</v>
      </c>
      <c r="CE6" s="17">
        <v>0</v>
      </c>
      <c r="CF6" s="170"/>
    </row>
    <row r="7" spans="1:84" x14ac:dyDescent="0.25">
      <c r="A7" s="170" t="s">
        <v>18</v>
      </c>
      <c r="B7" s="170" t="s">
        <v>228</v>
      </c>
      <c r="C7" s="170" t="s">
        <v>144</v>
      </c>
      <c r="D7" s="170" t="s">
        <v>616</v>
      </c>
      <c r="E7" s="170" t="s">
        <v>617</v>
      </c>
      <c r="F7" s="170" t="s">
        <v>802</v>
      </c>
      <c r="G7" s="170"/>
      <c r="H7" s="170"/>
      <c r="I7" s="170"/>
      <c r="J7" s="17">
        <v>3</v>
      </c>
      <c r="K7" s="17">
        <v>405</v>
      </c>
      <c r="L7" s="322">
        <v>6508.35</v>
      </c>
      <c r="M7" s="17">
        <v>0</v>
      </c>
      <c r="N7" s="17">
        <v>0</v>
      </c>
      <c r="O7" s="322">
        <v>0</v>
      </c>
      <c r="P7" s="17">
        <v>6</v>
      </c>
      <c r="Q7" s="17">
        <v>30</v>
      </c>
      <c r="R7" s="322">
        <v>5310</v>
      </c>
      <c r="S7" s="17">
        <v>3</v>
      </c>
      <c r="T7" s="17">
        <v>15</v>
      </c>
      <c r="U7" s="322">
        <v>2655</v>
      </c>
      <c r="W7" s="322"/>
      <c r="Y7" s="322"/>
      <c r="AA7" s="322"/>
      <c r="AC7" s="322"/>
      <c r="AE7" s="322"/>
      <c r="AF7" s="322"/>
      <c r="AG7" s="322"/>
      <c r="AH7" s="322"/>
      <c r="AI7" s="322"/>
      <c r="AO7" s="322">
        <v>12</v>
      </c>
      <c r="AP7" s="322">
        <v>4800</v>
      </c>
      <c r="AQ7" s="322">
        <v>19273.349999999999</v>
      </c>
      <c r="AR7" s="17">
        <v>1</v>
      </c>
      <c r="AS7" s="17">
        <v>0</v>
      </c>
      <c r="AT7" s="210"/>
      <c r="AU7" s="210"/>
      <c r="AV7" s="17" t="s">
        <v>227</v>
      </c>
      <c r="AW7" s="215"/>
      <c r="AX7" s="215">
        <v>19273.349999999999</v>
      </c>
      <c r="AY7" s="148">
        <v>15418.68</v>
      </c>
      <c r="AZ7" s="216" t="s">
        <v>441</v>
      </c>
      <c r="BA7" s="148">
        <v>3854.67</v>
      </c>
      <c r="BB7" s="217"/>
      <c r="BC7" s="173"/>
      <c r="BD7" s="172"/>
      <c r="BE7" s="173"/>
      <c r="BF7" s="213"/>
      <c r="BG7" s="173"/>
      <c r="BH7" s="219"/>
      <c r="BI7" s="173"/>
      <c r="BJ7" s="222"/>
      <c r="BK7" s="173"/>
      <c r="BL7" s="222"/>
      <c r="BM7" s="173"/>
      <c r="BN7" s="222"/>
      <c r="BO7" s="173"/>
      <c r="BP7" s="222"/>
      <c r="BQ7" s="173"/>
      <c r="BR7" s="222"/>
      <c r="BS7" s="173"/>
      <c r="BT7" s="222"/>
      <c r="BU7" s="173"/>
      <c r="BV7" s="222"/>
      <c r="BW7" s="171">
        <v>15418.68</v>
      </c>
      <c r="BX7" s="220">
        <v>15418.68</v>
      </c>
      <c r="BY7" s="220">
        <v>15418.68</v>
      </c>
      <c r="BZ7" s="220">
        <v>0</v>
      </c>
      <c r="CA7" s="220">
        <v>15418.68</v>
      </c>
      <c r="CB7" s="221">
        <v>1</v>
      </c>
      <c r="CC7" s="221" t="s">
        <v>421</v>
      </c>
      <c r="CD7" s="220">
        <v>3854.67</v>
      </c>
      <c r="CE7" s="17">
        <v>0</v>
      </c>
      <c r="CF7" s="170"/>
    </row>
    <row r="8" spans="1:84" x14ac:dyDescent="0.25">
      <c r="A8" s="170" t="s">
        <v>19</v>
      </c>
      <c r="B8" s="170" t="s">
        <v>7</v>
      </c>
      <c r="C8" s="170" t="s">
        <v>145</v>
      </c>
      <c r="D8" s="170" t="s">
        <v>618</v>
      </c>
      <c r="E8" s="170" t="s">
        <v>619</v>
      </c>
      <c r="F8" s="170" t="s">
        <v>803</v>
      </c>
      <c r="G8" s="170"/>
      <c r="H8" s="170"/>
      <c r="I8" s="170"/>
      <c r="J8" s="17">
        <v>0</v>
      </c>
      <c r="K8" s="17">
        <v>0</v>
      </c>
      <c r="L8" s="322">
        <v>0</v>
      </c>
      <c r="M8" s="17">
        <v>0</v>
      </c>
      <c r="N8" s="17">
        <v>0</v>
      </c>
      <c r="O8" s="322">
        <v>0</v>
      </c>
      <c r="P8" s="17">
        <v>4</v>
      </c>
      <c r="Q8" s="17">
        <v>20</v>
      </c>
      <c r="R8" s="322">
        <v>3540</v>
      </c>
      <c r="S8" s="17">
        <v>6</v>
      </c>
      <c r="T8" s="17">
        <v>30</v>
      </c>
      <c r="U8" s="322">
        <v>5310</v>
      </c>
      <c r="W8" s="322"/>
      <c r="Y8" s="322"/>
      <c r="AA8" s="322"/>
      <c r="AC8" s="322"/>
      <c r="AE8" s="322"/>
      <c r="AF8" s="322"/>
      <c r="AG8" s="322"/>
      <c r="AH8" s="322"/>
      <c r="AI8" s="322"/>
      <c r="AO8" s="322">
        <v>10</v>
      </c>
      <c r="AP8" s="322">
        <v>4000</v>
      </c>
      <c r="AQ8" s="322">
        <v>12850</v>
      </c>
      <c r="AR8" s="17">
        <v>1</v>
      </c>
      <c r="AS8" s="17">
        <v>0</v>
      </c>
      <c r="AT8" s="210"/>
      <c r="AU8" s="210"/>
      <c r="AV8" s="17" t="s">
        <v>227</v>
      </c>
      <c r="AW8" s="215"/>
      <c r="AX8" s="215">
        <v>12850</v>
      </c>
      <c r="AY8" s="148">
        <v>10280</v>
      </c>
      <c r="AZ8" s="216" t="s">
        <v>441</v>
      </c>
      <c r="BA8" s="148">
        <v>2570</v>
      </c>
      <c r="BB8" s="217"/>
      <c r="BC8" s="173"/>
      <c r="BD8" s="172"/>
      <c r="BE8" s="173"/>
      <c r="BF8" s="213"/>
      <c r="BG8" s="173"/>
      <c r="BH8" s="219"/>
      <c r="BI8" s="173"/>
      <c r="BJ8" s="222"/>
      <c r="BK8" s="173"/>
      <c r="BL8" s="222"/>
      <c r="BM8" s="173"/>
      <c r="BN8" s="222"/>
      <c r="BO8" s="173"/>
      <c r="BP8" s="222"/>
      <c r="BQ8" s="173"/>
      <c r="BR8" s="222"/>
      <c r="BS8" s="173"/>
      <c r="BT8" s="222"/>
      <c r="BU8" s="173"/>
      <c r="BV8" s="222"/>
      <c r="BW8" s="171">
        <v>10280</v>
      </c>
      <c r="BX8" s="220">
        <v>10280</v>
      </c>
      <c r="BY8" s="220">
        <v>10280</v>
      </c>
      <c r="BZ8" s="220">
        <v>0</v>
      </c>
      <c r="CA8" s="220">
        <v>10280</v>
      </c>
      <c r="CB8" s="221">
        <v>1</v>
      </c>
      <c r="CC8" s="221" t="s">
        <v>421</v>
      </c>
      <c r="CD8" s="220">
        <v>2570</v>
      </c>
      <c r="CE8" s="17">
        <v>0</v>
      </c>
      <c r="CF8" s="170"/>
    </row>
    <row r="9" spans="1:84" x14ac:dyDescent="0.25">
      <c r="A9" s="170" t="s">
        <v>130</v>
      </c>
      <c r="B9" s="170" t="s">
        <v>605</v>
      </c>
      <c r="C9" s="170" t="s">
        <v>146</v>
      </c>
      <c r="D9" s="170" t="s">
        <v>620</v>
      </c>
      <c r="E9" s="170" t="s">
        <v>621</v>
      </c>
      <c r="F9" s="170" t="s">
        <v>804</v>
      </c>
      <c r="G9" s="170"/>
      <c r="H9" s="170"/>
      <c r="I9" s="170"/>
      <c r="J9" s="17">
        <v>6</v>
      </c>
      <c r="K9" s="17">
        <v>810</v>
      </c>
      <c r="L9" s="322">
        <v>13016.7</v>
      </c>
      <c r="M9" s="17">
        <v>1</v>
      </c>
      <c r="N9" s="17">
        <v>121</v>
      </c>
      <c r="O9" s="322">
        <v>2520.4299999999998</v>
      </c>
      <c r="P9" s="17">
        <v>5</v>
      </c>
      <c r="Q9" s="17">
        <v>25</v>
      </c>
      <c r="R9" s="322">
        <v>4425</v>
      </c>
      <c r="S9" s="17">
        <v>2</v>
      </c>
      <c r="T9" s="17">
        <v>10</v>
      </c>
      <c r="U9" s="322">
        <v>1770</v>
      </c>
      <c r="W9" s="322"/>
      <c r="Y9" s="322"/>
      <c r="AA9" s="322"/>
      <c r="AC9" s="322"/>
      <c r="AE9" s="322"/>
      <c r="AF9" s="322"/>
      <c r="AG9" s="322"/>
      <c r="AH9" s="322"/>
      <c r="AI9" s="322"/>
      <c r="AO9" s="322">
        <v>14</v>
      </c>
      <c r="AP9" s="322">
        <v>5600</v>
      </c>
      <c r="AQ9" s="322">
        <v>27332.13</v>
      </c>
      <c r="AR9" s="17">
        <v>1</v>
      </c>
      <c r="AS9" s="17">
        <v>0</v>
      </c>
      <c r="AT9" s="210"/>
      <c r="AU9" s="210"/>
      <c r="AV9" s="17" t="s">
        <v>227</v>
      </c>
      <c r="AW9" s="215"/>
      <c r="AX9" s="215">
        <v>27332.13</v>
      </c>
      <c r="AY9" s="148">
        <v>21865.7</v>
      </c>
      <c r="AZ9" s="216" t="s">
        <v>441</v>
      </c>
      <c r="BA9" s="148">
        <v>5466.43</v>
      </c>
      <c r="BB9" s="217"/>
      <c r="BC9" s="218"/>
      <c r="BD9" s="172"/>
      <c r="BE9" s="173"/>
      <c r="BF9" s="213"/>
      <c r="BG9" s="173"/>
      <c r="BH9" s="219"/>
      <c r="BI9" s="173"/>
      <c r="BJ9" s="222"/>
      <c r="BK9" s="173"/>
      <c r="BL9" s="222"/>
      <c r="BM9" s="173"/>
      <c r="BN9" s="222"/>
      <c r="BO9" s="173"/>
      <c r="BP9" s="222"/>
      <c r="BQ9" s="173"/>
      <c r="BR9" s="222"/>
      <c r="BS9" s="173"/>
      <c r="BT9" s="222"/>
      <c r="BU9" s="173"/>
      <c r="BV9" s="222"/>
      <c r="BW9" s="171">
        <v>21865.7</v>
      </c>
      <c r="BX9" s="220">
        <v>21865.7</v>
      </c>
      <c r="BY9" s="220">
        <v>21865.7</v>
      </c>
      <c r="BZ9" s="220">
        <v>0</v>
      </c>
      <c r="CA9" s="220">
        <v>21865.7</v>
      </c>
      <c r="CB9" s="221">
        <v>1</v>
      </c>
      <c r="CC9" s="221" t="s">
        <v>421</v>
      </c>
      <c r="CD9" s="220">
        <v>5466.43</v>
      </c>
      <c r="CE9" s="17">
        <v>0</v>
      </c>
      <c r="CF9" s="170"/>
    </row>
    <row r="10" spans="1:84" x14ac:dyDescent="0.25">
      <c r="A10" s="170" t="s">
        <v>20</v>
      </c>
      <c r="B10" s="170" t="s">
        <v>84</v>
      </c>
      <c r="C10" s="170" t="s">
        <v>147</v>
      </c>
      <c r="D10" s="170" t="s">
        <v>622</v>
      </c>
      <c r="E10" s="170" t="s">
        <v>623</v>
      </c>
      <c r="F10" s="170" t="s">
        <v>805</v>
      </c>
      <c r="G10" s="170"/>
      <c r="H10" s="170"/>
      <c r="I10" s="170"/>
      <c r="J10" s="17">
        <v>227</v>
      </c>
      <c r="K10" s="17">
        <v>30645</v>
      </c>
      <c r="L10" s="322">
        <v>492465.15</v>
      </c>
      <c r="M10" s="17">
        <v>82</v>
      </c>
      <c r="N10" s="17">
        <v>9922</v>
      </c>
      <c r="O10" s="322">
        <v>206675.26</v>
      </c>
      <c r="P10" s="17">
        <v>32</v>
      </c>
      <c r="Q10" s="17">
        <v>160</v>
      </c>
      <c r="R10" s="322">
        <v>28320</v>
      </c>
      <c r="S10" s="17">
        <v>23</v>
      </c>
      <c r="T10" s="17">
        <v>115</v>
      </c>
      <c r="U10" s="322">
        <v>20355</v>
      </c>
      <c r="V10" s="17">
        <v>0</v>
      </c>
      <c r="W10" s="322">
        <v>0</v>
      </c>
      <c r="X10" s="17">
        <v>0</v>
      </c>
      <c r="Y10" s="322">
        <v>0</v>
      </c>
      <c r="Z10" s="322">
        <v>0</v>
      </c>
      <c r="AA10" s="322">
        <v>0</v>
      </c>
      <c r="AB10" s="17">
        <v>0</v>
      </c>
      <c r="AC10" s="322">
        <v>0</v>
      </c>
      <c r="AD10" s="17">
        <v>0</v>
      </c>
      <c r="AE10" s="322">
        <v>0</v>
      </c>
      <c r="AF10" s="322">
        <v>3</v>
      </c>
      <c r="AG10" s="322">
        <v>24000</v>
      </c>
      <c r="AH10" s="322">
        <v>60</v>
      </c>
      <c r="AI10" s="322">
        <v>24000</v>
      </c>
      <c r="AO10" s="322">
        <v>364</v>
      </c>
      <c r="AP10" s="322">
        <v>100720</v>
      </c>
      <c r="AQ10" s="322">
        <v>872535.41</v>
      </c>
      <c r="AR10" s="17">
        <v>1</v>
      </c>
      <c r="AS10" s="17">
        <v>0</v>
      </c>
      <c r="AT10" s="210"/>
      <c r="AU10" s="210"/>
      <c r="AV10" s="17" t="s">
        <v>227</v>
      </c>
      <c r="AW10" s="215"/>
      <c r="AX10" s="215">
        <v>872535.40999999992</v>
      </c>
      <c r="AY10" s="148">
        <v>698028.33</v>
      </c>
      <c r="AZ10" s="216" t="s">
        <v>441</v>
      </c>
      <c r="BA10" s="148">
        <v>174507.08</v>
      </c>
      <c r="BB10" s="217"/>
      <c r="BC10" s="173"/>
      <c r="BD10" s="172"/>
      <c r="BE10" s="173"/>
      <c r="BF10" s="213"/>
      <c r="BG10" s="173"/>
      <c r="BH10" s="222"/>
      <c r="BI10" s="173"/>
      <c r="BJ10" s="222"/>
      <c r="BK10" s="173"/>
      <c r="BL10" s="222"/>
      <c r="BM10" s="173"/>
      <c r="BN10" s="222"/>
      <c r="BO10" s="173"/>
      <c r="BP10" s="222"/>
      <c r="BQ10" s="173"/>
      <c r="BR10" s="222"/>
      <c r="BS10" s="173"/>
      <c r="BT10" s="222"/>
      <c r="BU10" s="173"/>
      <c r="BV10" s="222"/>
      <c r="BW10" s="171">
        <v>698028.33</v>
      </c>
      <c r="BX10" s="220">
        <v>698028.33</v>
      </c>
      <c r="BY10" s="220">
        <v>698028.33</v>
      </c>
      <c r="BZ10" s="220">
        <v>0</v>
      </c>
      <c r="CA10" s="220">
        <v>698028.33</v>
      </c>
      <c r="CB10" s="221">
        <v>1</v>
      </c>
      <c r="CC10" s="221" t="s">
        <v>421</v>
      </c>
      <c r="CD10" s="220">
        <v>174507.08</v>
      </c>
      <c r="CE10" s="17">
        <v>0</v>
      </c>
      <c r="CF10" s="170"/>
    </row>
    <row r="11" spans="1:84" x14ac:dyDescent="0.25">
      <c r="A11" s="170" t="s">
        <v>21</v>
      </c>
      <c r="B11" s="170" t="s">
        <v>85</v>
      </c>
      <c r="C11" s="170" t="s">
        <v>148</v>
      </c>
      <c r="D11" s="170" t="s">
        <v>624</v>
      </c>
      <c r="E11" s="170" t="s">
        <v>625</v>
      </c>
      <c r="F11" s="170" t="s">
        <v>806</v>
      </c>
      <c r="G11" s="170"/>
      <c r="H11" s="170"/>
      <c r="I11" s="170"/>
      <c r="J11" s="17">
        <v>111</v>
      </c>
      <c r="K11" s="17">
        <v>14985</v>
      </c>
      <c r="L11" s="322">
        <v>240808.95</v>
      </c>
      <c r="M11" s="17">
        <v>37</v>
      </c>
      <c r="N11" s="17">
        <v>4477</v>
      </c>
      <c r="O11" s="322">
        <v>93255.91</v>
      </c>
      <c r="P11" s="17">
        <v>29</v>
      </c>
      <c r="Q11" s="17">
        <v>145</v>
      </c>
      <c r="R11" s="322">
        <v>25665</v>
      </c>
      <c r="S11" s="17">
        <v>57</v>
      </c>
      <c r="T11" s="17">
        <v>285</v>
      </c>
      <c r="U11" s="322">
        <v>50445</v>
      </c>
      <c r="V11" s="17">
        <v>0</v>
      </c>
      <c r="W11" s="322">
        <v>0</v>
      </c>
      <c r="X11" s="17">
        <v>0</v>
      </c>
      <c r="Y11" s="322">
        <v>0</v>
      </c>
      <c r="Z11" s="17">
        <v>0</v>
      </c>
      <c r="AA11" s="322">
        <v>0</v>
      </c>
      <c r="AB11" s="17">
        <v>0</v>
      </c>
      <c r="AC11" s="322">
        <v>0</v>
      </c>
      <c r="AD11" s="17">
        <v>0</v>
      </c>
      <c r="AE11" s="322">
        <v>0</v>
      </c>
      <c r="AF11" s="322">
        <v>2</v>
      </c>
      <c r="AG11" s="322">
        <v>16000</v>
      </c>
      <c r="AH11" s="322">
        <v>40</v>
      </c>
      <c r="AI11" s="322">
        <v>16000</v>
      </c>
      <c r="AO11" s="322">
        <v>234</v>
      </c>
      <c r="AP11" s="322">
        <v>70820</v>
      </c>
      <c r="AQ11" s="322">
        <v>496994.86</v>
      </c>
      <c r="AR11" s="17">
        <v>1</v>
      </c>
      <c r="AS11" s="17">
        <v>0</v>
      </c>
      <c r="AT11" s="210"/>
      <c r="AU11" s="210"/>
      <c r="AV11" s="17" t="s">
        <v>227</v>
      </c>
      <c r="AW11" s="215"/>
      <c r="AX11" s="215">
        <v>496994.86</v>
      </c>
      <c r="AY11" s="148">
        <v>397595.89</v>
      </c>
      <c r="AZ11" s="216" t="s">
        <v>441</v>
      </c>
      <c r="BA11" s="148">
        <v>99398.97</v>
      </c>
      <c r="BB11" s="217"/>
      <c r="BC11" s="218"/>
      <c r="BD11" s="172"/>
      <c r="BE11" s="173"/>
      <c r="BF11" s="213"/>
      <c r="BG11" s="173"/>
      <c r="BH11" s="219"/>
      <c r="BI11" s="173"/>
      <c r="BJ11" s="222"/>
      <c r="BK11" s="173"/>
      <c r="BL11" s="222"/>
      <c r="BM11" s="173"/>
      <c r="BN11" s="222"/>
      <c r="BO11" s="173"/>
      <c r="BP11" s="222"/>
      <c r="BQ11" s="173"/>
      <c r="BR11" s="222"/>
      <c r="BS11" s="173"/>
      <c r="BT11" s="222"/>
      <c r="BU11" s="173"/>
      <c r="BV11" s="222"/>
      <c r="BW11" s="171">
        <v>397595.89</v>
      </c>
      <c r="BX11" s="220">
        <v>397595.89</v>
      </c>
      <c r="BY11" s="220">
        <v>397595.89</v>
      </c>
      <c r="BZ11" s="220">
        <v>0</v>
      </c>
      <c r="CA11" s="220">
        <v>397595.89</v>
      </c>
      <c r="CB11" s="221">
        <v>1</v>
      </c>
      <c r="CC11" s="221" t="s">
        <v>421</v>
      </c>
      <c r="CD11" s="220">
        <v>99398.97</v>
      </c>
      <c r="CE11" s="17">
        <v>0</v>
      </c>
      <c r="CF11" s="170"/>
    </row>
    <row r="12" spans="1:84" x14ac:dyDescent="0.25">
      <c r="A12" s="170" t="s">
        <v>22</v>
      </c>
      <c r="B12" s="170" t="s">
        <v>86</v>
      </c>
      <c r="C12" s="170" t="s">
        <v>149</v>
      </c>
      <c r="D12" s="170" t="s">
        <v>626</v>
      </c>
      <c r="E12" s="170" t="s">
        <v>627</v>
      </c>
      <c r="F12" s="170" t="s">
        <v>807</v>
      </c>
      <c r="G12" s="170"/>
      <c r="H12" s="170"/>
      <c r="I12" s="170"/>
      <c r="J12" s="17">
        <v>43</v>
      </c>
      <c r="K12" s="17">
        <v>5805</v>
      </c>
      <c r="L12" s="322">
        <v>93286.35</v>
      </c>
      <c r="M12" s="17">
        <v>3</v>
      </c>
      <c r="N12" s="17">
        <v>363</v>
      </c>
      <c r="O12" s="322">
        <v>7561.29</v>
      </c>
      <c r="P12" s="17">
        <v>26</v>
      </c>
      <c r="Q12" s="17">
        <v>130</v>
      </c>
      <c r="R12" s="322">
        <v>23010</v>
      </c>
      <c r="S12" s="17">
        <v>13</v>
      </c>
      <c r="T12" s="17">
        <v>65</v>
      </c>
      <c r="U12" s="322">
        <v>11505</v>
      </c>
      <c r="V12" s="17">
        <v>0</v>
      </c>
      <c r="W12" s="322">
        <v>0</v>
      </c>
      <c r="X12" s="17">
        <v>0</v>
      </c>
      <c r="Y12" s="322">
        <v>0</v>
      </c>
      <c r="Z12" s="17">
        <v>0</v>
      </c>
      <c r="AA12" s="322">
        <v>0</v>
      </c>
      <c r="AB12" s="17">
        <v>0</v>
      </c>
      <c r="AC12" s="322">
        <v>0</v>
      </c>
      <c r="AD12" s="17">
        <v>0</v>
      </c>
      <c r="AE12" s="322">
        <v>0</v>
      </c>
      <c r="AF12" s="322">
        <v>4</v>
      </c>
      <c r="AG12" s="322">
        <v>32000</v>
      </c>
      <c r="AH12" s="322">
        <v>80</v>
      </c>
      <c r="AI12" s="322">
        <v>32000</v>
      </c>
      <c r="AO12" s="322">
        <v>85</v>
      </c>
      <c r="AP12" s="322">
        <v>34000</v>
      </c>
      <c r="AQ12" s="322">
        <v>201362.64</v>
      </c>
      <c r="AR12" s="17">
        <v>1</v>
      </c>
      <c r="AS12" s="17">
        <v>0</v>
      </c>
      <c r="AT12" s="210"/>
      <c r="AU12" s="210"/>
      <c r="AV12" s="17" t="s">
        <v>227</v>
      </c>
      <c r="AW12" s="215"/>
      <c r="AX12" s="215">
        <v>201362.63999999998</v>
      </c>
      <c r="AY12" s="148">
        <v>161090.10999999999</v>
      </c>
      <c r="AZ12" s="216" t="s">
        <v>441</v>
      </c>
      <c r="BA12" s="148">
        <v>40272.53</v>
      </c>
      <c r="BB12" s="217"/>
      <c r="BC12" s="173"/>
      <c r="BD12" s="172"/>
      <c r="BE12" s="173"/>
      <c r="BF12" s="213"/>
      <c r="BG12" s="173"/>
      <c r="BH12" s="219"/>
      <c r="BI12" s="173"/>
      <c r="BJ12" s="222"/>
      <c r="BK12" s="173"/>
      <c r="BL12" s="222"/>
      <c r="BM12" s="173"/>
      <c r="BN12" s="222"/>
      <c r="BO12" s="173"/>
      <c r="BP12" s="222"/>
      <c r="BQ12" s="173"/>
      <c r="BR12" s="222"/>
      <c r="BS12" s="173"/>
      <c r="BT12" s="222"/>
      <c r="BU12" s="173"/>
      <c r="BV12" s="222"/>
      <c r="BW12" s="171">
        <v>161090.10999999999</v>
      </c>
      <c r="BX12" s="220">
        <v>161090.10999999999</v>
      </c>
      <c r="BY12" s="220">
        <v>161090.10999999999</v>
      </c>
      <c r="BZ12" s="220">
        <v>0</v>
      </c>
      <c r="CA12" s="220">
        <v>161090.10999999999</v>
      </c>
      <c r="CB12" s="221">
        <v>1</v>
      </c>
      <c r="CC12" s="221" t="s">
        <v>421</v>
      </c>
      <c r="CD12" s="220">
        <v>40272.53</v>
      </c>
      <c r="CE12" s="17">
        <v>0</v>
      </c>
      <c r="CF12" s="170"/>
    </row>
    <row r="13" spans="1:84" x14ac:dyDescent="0.25">
      <c r="A13" s="170" t="s">
        <v>23</v>
      </c>
      <c r="B13" s="170" t="s">
        <v>87</v>
      </c>
      <c r="C13" s="170" t="s">
        <v>150</v>
      </c>
      <c r="D13" s="170" t="s">
        <v>628</v>
      </c>
      <c r="E13" s="170" t="s">
        <v>629</v>
      </c>
      <c r="F13" s="170" t="s">
        <v>808</v>
      </c>
      <c r="G13" s="170"/>
      <c r="H13" s="170"/>
      <c r="I13" s="170"/>
      <c r="J13" s="17">
        <v>0</v>
      </c>
      <c r="K13" s="17">
        <v>0</v>
      </c>
      <c r="L13" s="322">
        <v>0</v>
      </c>
      <c r="M13" s="17">
        <v>0</v>
      </c>
      <c r="N13" s="17">
        <v>0</v>
      </c>
      <c r="O13" s="322">
        <v>0</v>
      </c>
      <c r="P13" s="17">
        <v>7</v>
      </c>
      <c r="Q13" s="17">
        <v>35</v>
      </c>
      <c r="R13" s="322">
        <v>6195</v>
      </c>
      <c r="S13" s="17">
        <v>7</v>
      </c>
      <c r="T13" s="17">
        <v>35</v>
      </c>
      <c r="U13" s="322">
        <v>6195</v>
      </c>
      <c r="W13" s="322"/>
      <c r="Y13" s="322"/>
      <c r="AA13" s="322"/>
      <c r="AC13" s="322"/>
      <c r="AE13" s="322"/>
      <c r="AF13" s="322"/>
      <c r="AG13" s="322"/>
      <c r="AH13" s="322"/>
      <c r="AI13" s="322"/>
      <c r="AO13" s="322">
        <v>14</v>
      </c>
      <c r="AP13" s="322">
        <v>5600</v>
      </c>
      <c r="AQ13" s="322">
        <v>17990</v>
      </c>
      <c r="AR13" s="17">
        <v>1</v>
      </c>
      <c r="AS13" s="17">
        <v>0</v>
      </c>
      <c r="AT13" s="210"/>
      <c r="AU13" s="210"/>
      <c r="AV13" s="17" t="s">
        <v>227</v>
      </c>
      <c r="AW13" s="215"/>
      <c r="AX13" s="215">
        <v>17990</v>
      </c>
      <c r="AY13" s="148">
        <v>14392</v>
      </c>
      <c r="AZ13" s="216" t="s">
        <v>441</v>
      </c>
      <c r="BA13" s="148">
        <v>3598</v>
      </c>
      <c r="BB13" s="217"/>
      <c r="BC13" s="173"/>
      <c r="BD13" s="172"/>
      <c r="BE13" s="173"/>
      <c r="BF13" s="213"/>
      <c r="BG13" s="173"/>
      <c r="BH13" s="219"/>
      <c r="BI13" s="173"/>
      <c r="BJ13" s="222"/>
      <c r="BK13" s="173"/>
      <c r="BL13" s="222"/>
      <c r="BM13" s="173"/>
      <c r="BN13" s="222"/>
      <c r="BO13" s="173"/>
      <c r="BP13" s="222"/>
      <c r="BQ13" s="173"/>
      <c r="BR13" s="222"/>
      <c r="BS13" s="173"/>
      <c r="BT13" s="222"/>
      <c r="BU13" s="173"/>
      <c r="BV13" s="222"/>
      <c r="BW13" s="171">
        <v>14392</v>
      </c>
      <c r="BX13" s="220">
        <v>14392</v>
      </c>
      <c r="BY13" s="220">
        <v>14392</v>
      </c>
      <c r="BZ13" s="220">
        <v>0</v>
      </c>
      <c r="CA13" s="220">
        <v>14392</v>
      </c>
      <c r="CB13" s="221">
        <v>1</v>
      </c>
      <c r="CC13" s="221" t="s">
        <v>421</v>
      </c>
      <c r="CD13" s="220">
        <v>3598</v>
      </c>
      <c r="CE13" s="17">
        <v>0</v>
      </c>
      <c r="CF13" s="170"/>
    </row>
    <row r="14" spans="1:84" x14ac:dyDescent="0.25">
      <c r="A14" s="170" t="s">
        <v>24</v>
      </c>
      <c r="B14" s="170" t="s">
        <v>442</v>
      </c>
      <c r="C14" s="170" t="s">
        <v>151</v>
      </c>
      <c r="D14" s="170" t="s">
        <v>630</v>
      </c>
      <c r="E14" s="170" t="s">
        <v>631</v>
      </c>
      <c r="F14" s="170" t="s">
        <v>809</v>
      </c>
      <c r="G14" s="211"/>
      <c r="H14" s="170"/>
      <c r="I14" s="170"/>
      <c r="J14" s="17">
        <v>11</v>
      </c>
      <c r="K14" s="17">
        <v>1485</v>
      </c>
      <c r="L14" s="322">
        <v>23863.95</v>
      </c>
      <c r="M14" s="17">
        <v>3</v>
      </c>
      <c r="N14" s="17">
        <v>363</v>
      </c>
      <c r="O14" s="322">
        <v>7561.29</v>
      </c>
      <c r="P14" s="17">
        <v>3</v>
      </c>
      <c r="Q14" s="17">
        <v>15</v>
      </c>
      <c r="R14" s="322">
        <v>2655</v>
      </c>
      <c r="S14" s="17">
        <v>5</v>
      </c>
      <c r="T14" s="17">
        <v>25</v>
      </c>
      <c r="U14" s="322">
        <v>4425</v>
      </c>
      <c r="V14" s="17">
        <v>0</v>
      </c>
      <c r="W14" s="322">
        <v>0</v>
      </c>
      <c r="X14" s="17">
        <v>0</v>
      </c>
      <c r="Y14" s="322">
        <v>0</v>
      </c>
      <c r="Z14" s="17">
        <v>0</v>
      </c>
      <c r="AA14" s="322">
        <v>0</v>
      </c>
      <c r="AB14" s="17">
        <v>0</v>
      </c>
      <c r="AC14" s="322">
        <v>0</v>
      </c>
      <c r="AD14" s="17">
        <v>0</v>
      </c>
      <c r="AE14" s="322">
        <v>0</v>
      </c>
      <c r="AF14" s="322">
        <v>1</v>
      </c>
      <c r="AG14" s="322">
        <v>8000</v>
      </c>
      <c r="AH14" s="322">
        <v>20</v>
      </c>
      <c r="AI14" s="322">
        <v>8000</v>
      </c>
      <c r="AO14" s="322">
        <v>22</v>
      </c>
      <c r="AP14" s="322">
        <v>8800</v>
      </c>
      <c r="AQ14" s="322">
        <v>55305.24</v>
      </c>
      <c r="AR14" s="17">
        <v>1</v>
      </c>
      <c r="AS14" s="17">
        <v>0</v>
      </c>
      <c r="AT14" s="210"/>
      <c r="AU14" s="210"/>
      <c r="AV14" s="17" t="s">
        <v>227</v>
      </c>
      <c r="AW14" s="215"/>
      <c r="AX14" s="215">
        <v>55305.240000000005</v>
      </c>
      <c r="AY14" s="148">
        <v>44244.19</v>
      </c>
      <c r="AZ14" s="216" t="s">
        <v>441</v>
      </c>
      <c r="BA14" s="148">
        <v>11061.05</v>
      </c>
      <c r="BB14" s="217"/>
      <c r="BC14" s="218"/>
      <c r="BD14" s="172"/>
      <c r="BE14" s="218"/>
      <c r="BF14" s="172"/>
      <c r="BG14" s="218"/>
      <c r="BH14" s="219"/>
      <c r="BI14" s="173"/>
      <c r="BJ14" s="222"/>
      <c r="BK14" s="173"/>
      <c r="BL14" s="222"/>
      <c r="BM14" s="173"/>
      <c r="BN14" s="222"/>
      <c r="BO14" s="173"/>
      <c r="BP14" s="222"/>
      <c r="BQ14" s="173"/>
      <c r="BR14" s="222"/>
      <c r="BS14" s="173"/>
      <c r="BT14" s="222"/>
      <c r="BU14" s="173"/>
      <c r="BV14" s="222"/>
      <c r="BW14" s="171">
        <v>44244.19</v>
      </c>
      <c r="BX14" s="220">
        <v>44244.19</v>
      </c>
      <c r="BY14" s="220">
        <v>44244.19</v>
      </c>
      <c r="BZ14" s="220">
        <v>0</v>
      </c>
      <c r="CA14" s="220">
        <v>44244.19</v>
      </c>
      <c r="CB14" s="221">
        <v>1</v>
      </c>
      <c r="CC14" s="221" t="s">
        <v>421</v>
      </c>
      <c r="CD14" s="220">
        <v>11061.05</v>
      </c>
      <c r="CE14" s="17">
        <v>0</v>
      </c>
      <c r="CF14" s="170"/>
    </row>
    <row r="15" spans="1:84" x14ac:dyDescent="0.25">
      <c r="A15" s="170" t="s">
        <v>25</v>
      </c>
      <c r="B15" s="170" t="s">
        <v>121</v>
      </c>
      <c r="C15" s="170" t="s">
        <v>152</v>
      </c>
      <c r="D15" s="170" t="s">
        <v>632</v>
      </c>
      <c r="E15" s="170" t="s">
        <v>633</v>
      </c>
      <c r="F15" s="170" t="s">
        <v>810</v>
      </c>
      <c r="G15" s="212"/>
      <c r="H15" s="170" t="s">
        <v>811</v>
      </c>
      <c r="I15" s="170"/>
      <c r="J15" s="17">
        <v>233</v>
      </c>
      <c r="K15" s="17">
        <v>31455</v>
      </c>
      <c r="L15" s="322">
        <v>505481.85</v>
      </c>
      <c r="M15" s="17">
        <v>245</v>
      </c>
      <c r="N15" s="17">
        <v>29645</v>
      </c>
      <c r="O15" s="322">
        <v>617505.35</v>
      </c>
      <c r="P15" s="17">
        <v>25</v>
      </c>
      <c r="Q15" s="17">
        <v>125</v>
      </c>
      <c r="R15" s="322">
        <v>22125</v>
      </c>
      <c r="S15" s="17">
        <v>25</v>
      </c>
      <c r="T15" s="17">
        <v>125</v>
      </c>
      <c r="U15" s="322">
        <v>22125</v>
      </c>
      <c r="V15" s="17">
        <v>0</v>
      </c>
      <c r="W15" s="322">
        <v>0</v>
      </c>
      <c r="X15" s="17">
        <v>0</v>
      </c>
      <c r="Y15" s="322">
        <v>0</v>
      </c>
      <c r="Z15" s="17">
        <v>0</v>
      </c>
      <c r="AA15" s="322">
        <v>0</v>
      </c>
      <c r="AB15" s="322">
        <v>0</v>
      </c>
      <c r="AC15" s="322">
        <v>0</v>
      </c>
      <c r="AD15" s="17">
        <v>0</v>
      </c>
      <c r="AE15" s="322">
        <v>0</v>
      </c>
      <c r="AF15" s="322">
        <v>6</v>
      </c>
      <c r="AG15" s="322">
        <v>48000</v>
      </c>
      <c r="AH15" s="322">
        <v>120</v>
      </c>
      <c r="AI15" s="322">
        <v>48000</v>
      </c>
      <c r="AO15" s="322">
        <v>528</v>
      </c>
      <c r="AP15" s="322">
        <v>138440</v>
      </c>
      <c r="AQ15" s="322">
        <v>1353677.2</v>
      </c>
      <c r="AR15" s="17">
        <v>1</v>
      </c>
      <c r="AS15" s="17">
        <v>0</v>
      </c>
      <c r="AT15" s="210"/>
      <c r="AU15" s="210"/>
      <c r="AV15" s="17" t="s">
        <v>227</v>
      </c>
      <c r="AW15" s="215"/>
      <c r="AX15" s="215">
        <v>1353677.2</v>
      </c>
      <c r="AY15" s="148">
        <v>1082941.76</v>
      </c>
      <c r="AZ15" s="216" t="s">
        <v>441</v>
      </c>
      <c r="BA15" s="148">
        <v>270735.44</v>
      </c>
      <c r="BB15" s="217"/>
      <c r="BC15" s="173"/>
      <c r="BD15" s="172"/>
      <c r="BE15" s="218"/>
      <c r="BF15" s="172"/>
      <c r="BG15" s="218"/>
      <c r="BH15" s="219"/>
      <c r="BI15" s="173"/>
      <c r="BJ15" s="222"/>
      <c r="BK15" s="173"/>
      <c r="BL15" s="222"/>
      <c r="BM15" s="173"/>
      <c r="BN15" s="222"/>
      <c r="BO15" s="173"/>
      <c r="BP15" s="222"/>
      <c r="BQ15" s="173"/>
      <c r="BR15" s="222"/>
      <c r="BS15" s="173"/>
      <c r="BT15" s="222"/>
      <c r="BU15" s="173"/>
      <c r="BV15" s="222"/>
      <c r="BW15" s="171">
        <v>1082941.76</v>
      </c>
      <c r="BX15" s="220">
        <v>1082941.76</v>
      </c>
      <c r="BY15" s="220">
        <v>1082941.76</v>
      </c>
      <c r="BZ15" s="220">
        <v>0</v>
      </c>
      <c r="CA15" s="220">
        <v>1082941.76</v>
      </c>
      <c r="CB15" s="221">
        <v>1</v>
      </c>
      <c r="CC15" s="221" t="s">
        <v>421</v>
      </c>
      <c r="CD15" s="220">
        <v>270735.44</v>
      </c>
      <c r="CE15" s="17">
        <v>0</v>
      </c>
      <c r="CF15" s="170"/>
    </row>
    <row r="16" spans="1:84" x14ac:dyDescent="0.25">
      <c r="A16" s="170" t="s">
        <v>26</v>
      </c>
      <c r="B16" s="170" t="s">
        <v>88</v>
      </c>
      <c r="C16" s="170" t="s">
        <v>153</v>
      </c>
      <c r="D16" s="170" t="s">
        <v>634</v>
      </c>
      <c r="E16" s="170" t="s">
        <v>635</v>
      </c>
      <c r="F16" s="170" t="s">
        <v>812</v>
      </c>
      <c r="G16" s="170"/>
      <c r="H16" s="170" t="s">
        <v>813</v>
      </c>
      <c r="I16" s="170"/>
      <c r="J16" s="17">
        <v>11</v>
      </c>
      <c r="K16" s="17">
        <v>1485</v>
      </c>
      <c r="L16" s="322">
        <v>23863.95</v>
      </c>
      <c r="M16" s="17">
        <v>15</v>
      </c>
      <c r="N16" s="17">
        <v>1815</v>
      </c>
      <c r="O16" s="322">
        <v>37806.449999999997</v>
      </c>
      <c r="P16" s="17">
        <v>5</v>
      </c>
      <c r="Q16" s="17">
        <v>25</v>
      </c>
      <c r="R16" s="322">
        <v>4425</v>
      </c>
      <c r="S16" s="17">
        <v>7</v>
      </c>
      <c r="T16" s="17">
        <v>35</v>
      </c>
      <c r="U16" s="322">
        <v>6195</v>
      </c>
      <c r="V16" s="17">
        <v>0</v>
      </c>
      <c r="W16" s="322">
        <v>0</v>
      </c>
      <c r="X16" s="17">
        <v>0</v>
      </c>
      <c r="Y16" s="322">
        <v>0</v>
      </c>
      <c r="Z16" s="17">
        <v>0</v>
      </c>
      <c r="AA16" s="322">
        <v>0</v>
      </c>
      <c r="AB16" s="17">
        <v>0</v>
      </c>
      <c r="AC16" s="322">
        <v>0</v>
      </c>
      <c r="AD16" s="17">
        <v>0</v>
      </c>
      <c r="AE16" s="322">
        <v>0</v>
      </c>
      <c r="AF16" s="322">
        <v>1</v>
      </c>
      <c r="AG16" s="322">
        <v>8000</v>
      </c>
      <c r="AH16" s="322">
        <v>20</v>
      </c>
      <c r="AI16" s="322">
        <v>8000</v>
      </c>
      <c r="AO16" s="322">
        <v>38</v>
      </c>
      <c r="AP16" s="322">
        <v>15200</v>
      </c>
      <c r="AQ16" s="322">
        <v>95490.4</v>
      </c>
      <c r="AR16" s="17">
        <v>1</v>
      </c>
      <c r="AS16" s="17">
        <v>0</v>
      </c>
      <c r="AT16" s="210"/>
      <c r="AU16" s="210"/>
      <c r="AV16" s="17" t="s">
        <v>227</v>
      </c>
      <c r="AW16" s="215"/>
      <c r="AX16" s="215">
        <v>95490.400000000009</v>
      </c>
      <c r="AY16" s="148">
        <v>76392.320000000007</v>
      </c>
      <c r="AZ16" s="216" t="s">
        <v>441</v>
      </c>
      <c r="BA16" s="148">
        <v>19098.080000000002</v>
      </c>
      <c r="BB16" s="217"/>
      <c r="BC16" s="173"/>
      <c r="BD16" s="172"/>
      <c r="BE16" s="173"/>
      <c r="BF16" s="213"/>
      <c r="BG16" s="173"/>
      <c r="BH16" s="219"/>
      <c r="BI16" s="173"/>
      <c r="BJ16" s="222"/>
      <c r="BK16" s="173"/>
      <c r="BL16" s="222"/>
      <c r="BM16" s="173"/>
      <c r="BN16" s="222"/>
      <c r="BO16" s="173"/>
      <c r="BP16" s="222"/>
      <c r="BQ16" s="173"/>
      <c r="BR16" s="222"/>
      <c r="BS16" s="173"/>
      <c r="BT16" s="222"/>
      <c r="BU16" s="173"/>
      <c r="BV16" s="222"/>
      <c r="BW16" s="171">
        <v>76392.320000000007</v>
      </c>
      <c r="BX16" s="220">
        <v>76392.320000000007</v>
      </c>
      <c r="BY16" s="220">
        <v>76392.320000000007</v>
      </c>
      <c r="BZ16" s="220">
        <v>0</v>
      </c>
      <c r="CA16" s="220">
        <v>76392.320000000007</v>
      </c>
      <c r="CB16" s="221">
        <v>1</v>
      </c>
      <c r="CC16" s="221" t="s">
        <v>421</v>
      </c>
      <c r="CD16" s="220">
        <v>19098.080000000002</v>
      </c>
      <c r="CE16" s="17">
        <v>0</v>
      </c>
      <c r="CF16" s="170"/>
    </row>
    <row r="17" spans="1:84" x14ac:dyDescent="0.25">
      <c r="A17" s="170" t="s">
        <v>27</v>
      </c>
      <c r="B17" s="170" t="s">
        <v>89</v>
      </c>
      <c r="C17" s="170" t="s">
        <v>154</v>
      </c>
      <c r="D17" s="170" t="s">
        <v>636</v>
      </c>
      <c r="E17" s="170" t="s">
        <v>637</v>
      </c>
      <c r="F17" s="170" t="s">
        <v>814</v>
      </c>
      <c r="G17" s="170"/>
      <c r="H17" s="170" t="s">
        <v>815</v>
      </c>
      <c r="I17" s="170"/>
      <c r="J17" s="17">
        <v>39</v>
      </c>
      <c r="K17" s="17">
        <v>5265</v>
      </c>
      <c r="L17" s="322">
        <v>84608.55</v>
      </c>
      <c r="M17" s="17">
        <v>25</v>
      </c>
      <c r="N17" s="17">
        <v>3025</v>
      </c>
      <c r="O17" s="322">
        <v>63010.75</v>
      </c>
      <c r="P17" s="17">
        <v>3</v>
      </c>
      <c r="Q17" s="17">
        <v>15</v>
      </c>
      <c r="R17" s="322">
        <v>2655</v>
      </c>
      <c r="S17" s="17">
        <v>6</v>
      </c>
      <c r="T17" s="17">
        <v>30</v>
      </c>
      <c r="U17" s="322">
        <v>5310</v>
      </c>
      <c r="W17" s="322"/>
      <c r="Y17" s="322"/>
      <c r="AA17" s="322"/>
      <c r="AC17" s="322"/>
      <c r="AE17" s="322"/>
      <c r="AF17" s="322"/>
      <c r="AG17" s="322"/>
      <c r="AH17" s="322"/>
      <c r="AI17" s="322"/>
      <c r="AO17" s="322">
        <v>73</v>
      </c>
      <c r="AP17" s="322">
        <v>29200</v>
      </c>
      <c r="AQ17" s="322">
        <v>184784.3</v>
      </c>
      <c r="AR17" s="17">
        <v>1</v>
      </c>
      <c r="AS17" s="17">
        <v>0</v>
      </c>
      <c r="AT17" s="210"/>
      <c r="AU17" s="210"/>
      <c r="AV17" s="17" t="s">
        <v>227</v>
      </c>
      <c r="AW17" s="215"/>
      <c r="AX17" s="215">
        <v>184784.3</v>
      </c>
      <c r="AY17" s="148">
        <v>147827.44</v>
      </c>
      <c r="AZ17" s="216" t="s">
        <v>441</v>
      </c>
      <c r="BA17" s="148">
        <v>36956.86</v>
      </c>
      <c r="BB17" s="217"/>
      <c r="BC17" s="173"/>
      <c r="BD17" s="172"/>
      <c r="BE17" s="173"/>
      <c r="BF17" s="213"/>
      <c r="BG17" s="173"/>
      <c r="BH17" s="219"/>
      <c r="BI17" s="173"/>
      <c r="BJ17" s="222"/>
      <c r="BK17" s="173"/>
      <c r="BL17" s="222"/>
      <c r="BM17" s="173"/>
      <c r="BN17" s="222"/>
      <c r="BO17" s="173"/>
      <c r="BP17" s="222"/>
      <c r="BQ17" s="173"/>
      <c r="BR17" s="222"/>
      <c r="BS17" s="173"/>
      <c r="BT17" s="222"/>
      <c r="BU17" s="173"/>
      <c r="BV17" s="222"/>
      <c r="BW17" s="171">
        <v>147827.44</v>
      </c>
      <c r="BX17" s="220">
        <v>147827.44</v>
      </c>
      <c r="BY17" s="220">
        <v>147827.44</v>
      </c>
      <c r="BZ17" s="220">
        <v>0</v>
      </c>
      <c r="CA17" s="220">
        <v>147827.44</v>
      </c>
      <c r="CB17" s="221">
        <v>1</v>
      </c>
      <c r="CC17" s="221" t="s">
        <v>421</v>
      </c>
      <c r="CD17" s="220">
        <v>36956.86</v>
      </c>
      <c r="CE17" s="17">
        <v>0</v>
      </c>
      <c r="CF17" s="170"/>
    </row>
    <row r="18" spans="1:84" x14ac:dyDescent="0.25">
      <c r="A18" s="170" t="s">
        <v>28</v>
      </c>
      <c r="B18" s="170" t="s">
        <v>90</v>
      </c>
      <c r="C18" s="170" t="s">
        <v>155</v>
      </c>
      <c r="D18" s="170" t="s">
        <v>638</v>
      </c>
      <c r="E18" s="170" t="s">
        <v>639</v>
      </c>
      <c r="F18" s="170" t="s">
        <v>816</v>
      </c>
      <c r="G18" s="170"/>
      <c r="H18" s="170"/>
      <c r="I18" s="170"/>
      <c r="J18" s="17">
        <v>309</v>
      </c>
      <c r="K18" s="17">
        <v>41715</v>
      </c>
      <c r="L18" s="322">
        <v>670360.05000000005</v>
      </c>
      <c r="M18" s="17">
        <v>56</v>
      </c>
      <c r="N18" s="17">
        <v>6776</v>
      </c>
      <c r="O18" s="322">
        <v>141144.07999999999</v>
      </c>
      <c r="P18" s="17">
        <v>22</v>
      </c>
      <c r="Q18" s="17">
        <v>110</v>
      </c>
      <c r="R18" s="322">
        <v>19470</v>
      </c>
      <c r="S18" s="17">
        <v>14</v>
      </c>
      <c r="T18" s="17">
        <v>70</v>
      </c>
      <c r="U18" s="322">
        <v>12390</v>
      </c>
      <c r="V18" s="17">
        <v>0</v>
      </c>
      <c r="W18" s="322">
        <v>0</v>
      </c>
      <c r="X18" s="17">
        <v>0</v>
      </c>
      <c r="Y18" s="322">
        <v>0</v>
      </c>
      <c r="Z18" s="17">
        <v>0</v>
      </c>
      <c r="AA18" s="322">
        <v>0</v>
      </c>
      <c r="AB18" s="17">
        <v>0</v>
      </c>
      <c r="AC18" s="322">
        <v>0</v>
      </c>
      <c r="AD18" s="17">
        <v>0</v>
      </c>
      <c r="AE18" s="322">
        <v>0</v>
      </c>
      <c r="AF18" s="322">
        <v>4</v>
      </c>
      <c r="AG18" s="322">
        <v>32000</v>
      </c>
      <c r="AH18" s="322">
        <v>80</v>
      </c>
      <c r="AI18" s="322">
        <v>32000</v>
      </c>
      <c r="AO18" s="322">
        <v>401</v>
      </c>
      <c r="AP18" s="322">
        <v>109230</v>
      </c>
      <c r="AQ18" s="322">
        <v>984594.13</v>
      </c>
      <c r="AR18" s="17">
        <v>1</v>
      </c>
      <c r="AS18" s="17">
        <v>0</v>
      </c>
      <c r="AT18" s="210"/>
      <c r="AU18" s="210"/>
      <c r="AV18" s="17" t="s">
        <v>227</v>
      </c>
      <c r="AW18" s="215"/>
      <c r="AX18" s="215">
        <v>984594.13</v>
      </c>
      <c r="AY18" s="148">
        <v>787675.3</v>
      </c>
      <c r="AZ18" s="216" t="s">
        <v>441</v>
      </c>
      <c r="BA18" s="148">
        <v>196918.83</v>
      </c>
      <c r="BB18" s="217"/>
      <c r="BC18" s="173"/>
      <c r="BD18" s="172"/>
      <c r="BE18" s="173"/>
      <c r="BF18" s="213"/>
      <c r="BG18" s="173"/>
      <c r="BH18" s="219"/>
      <c r="BI18" s="173"/>
      <c r="BJ18" s="222"/>
      <c r="BK18" s="173"/>
      <c r="BL18" s="222"/>
      <c r="BM18" s="173"/>
      <c r="BN18" s="222"/>
      <c r="BO18" s="173"/>
      <c r="BP18" s="222"/>
      <c r="BQ18" s="173"/>
      <c r="BR18" s="222"/>
      <c r="BS18" s="173"/>
      <c r="BT18" s="222"/>
      <c r="BU18" s="173"/>
      <c r="BV18" s="222"/>
      <c r="BW18" s="171">
        <v>787675.3</v>
      </c>
      <c r="BX18" s="220">
        <v>787675.3</v>
      </c>
      <c r="BY18" s="220">
        <v>787675.3</v>
      </c>
      <c r="BZ18" s="220">
        <v>0</v>
      </c>
      <c r="CA18" s="220">
        <v>787675.3</v>
      </c>
      <c r="CB18" s="221">
        <v>1</v>
      </c>
      <c r="CC18" s="221" t="s">
        <v>421</v>
      </c>
      <c r="CD18" s="220">
        <v>196918.83</v>
      </c>
      <c r="CE18" s="17">
        <v>0</v>
      </c>
      <c r="CF18" s="170"/>
    </row>
    <row r="19" spans="1:84" x14ac:dyDescent="0.25">
      <c r="A19" s="170" t="s">
        <v>29</v>
      </c>
      <c r="B19" s="170" t="s">
        <v>8</v>
      </c>
      <c r="C19" s="170" t="s">
        <v>156</v>
      </c>
      <c r="D19" s="170" t="s">
        <v>640</v>
      </c>
      <c r="E19" s="170" t="s">
        <v>641</v>
      </c>
      <c r="F19" s="170" t="s">
        <v>817</v>
      </c>
      <c r="G19" s="170"/>
      <c r="H19" s="170"/>
      <c r="I19" s="170"/>
      <c r="J19" s="17">
        <v>0</v>
      </c>
      <c r="K19" s="17">
        <v>0</v>
      </c>
      <c r="L19" s="322">
        <v>0</v>
      </c>
      <c r="M19" s="17">
        <v>0</v>
      </c>
      <c r="N19" s="17">
        <v>0</v>
      </c>
      <c r="O19" s="322">
        <v>0</v>
      </c>
      <c r="P19" s="17">
        <v>7</v>
      </c>
      <c r="Q19" s="17">
        <v>35</v>
      </c>
      <c r="R19" s="322">
        <v>6195</v>
      </c>
      <c r="S19" s="17">
        <v>13</v>
      </c>
      <c r="T19" s="17">
        <v>65</v>
      </c>
      <c r="U19" s="322">
        <v>11505</v>
      </c>
      <c r="V19" s="17">
        <v>0</v>
      </c>
      <c r="W19" s="322">
        <v>0</v>
      </c>
      <c r="X19" s="17">
        <v>0</v>
      </c>
      <c r="Y19" s="322">
        <v>0</v>
      </c>
      <c r="Z19" s="17">
        <v>0</v>
      </c>
      <c r="AA19" s="322">
        <v>0</v>
      </c>
      <c r="AB19" s="17">
        <v>0</v>
      </c>
      <c r="AC19" s="322">
        <v>0</v>
      </c>
      <c r="AD19" s="17">
        <v>0</v>
      </c>
      <c r="AE19" s="322">
        <v>0</v>
      </c>
      <c r="AF19" s="322">
        <v>1</v>
      </c>
      <c r="AG19" s="322">
        <v>8000</v>
      </c>
      <c r="AH19" s="322">
        <v>20</v>
      </c>
      <c r="AI19" s="322">
        <v>8000</v>
      </c>
      <c r="AO19" s="322">
        <v>20</v>
      </c>
      <c r="AP19" s="322">
        <v>8000</v>
      </c>
      <c r="AQ19" s="322">
        <v>33700</v>
      </c>
      <c r="AR19" s="17">
        <v>1</v>
      </c>
      <c r="AS19" s="17">
        <v>0</v>
      </c>
      <c r="AT19" s="210"/>
      <c r="AU19" s="210"/>
      <c r="AV19" s="17" t="s">
        <v>227</v>
      </c>
      <c r="AW19" s="215"/>
      <c r="AX19" s="215">
        <v>33700</v>
      </c>
      <c r="AY19" s="148">
        <v>26960</v>
      </c>
      <c r="AZ19" s="216" t="s">
        <v>441</v>
      </c>
      <c r="BA19" s="148">
        <v>6740</v>
      </c>
      <c r="BB19" s="217"/>
      <c r="BC19" s="173"/>
      <c r="BD19" s="172"/>
      <c r="BE19" s="173"/>
      <c r="BF19" s="213"/>
      <c r="BG19" s="173"/>
      <c r="BH19" s="219"/>
      <c r="BI19" s="173"/>
      <c r="BJ19" s="222"/>
      <c r="BK19" s="173"/>
      <c r="BL19" s="222"/>
      <c r="BM19" s="173"/>
      <c r="BN19" s="222"/>
      <c r="BO19" s="173"/>
      <c r="BP19" s="222"/>
      <c r="BQ19" s="173"/>
      <c r="BR19" s="222"/>
      <c r="BS19" s="173"/>
      <c r="BT19" s="222"/>
      <c r="BU19" s="173"/>
      <c r="BV19" s="222"/>
      <c r="BW19" s="171">
        <v>26960</v>
      </c>
      <c r="BX19" s="220">
        <v>26960</v>
      </c>
      <c r="BY19" s="220">
        <v>26960</v>
      </c>
      <c r="BZ19" s="220">
        <v>0</v>
      </c>
      <c r="CA19" s="220">
        <v>26960</v>
      </c>
      <c r="CB19" s="221">
        <v>1</v>
      </c>
      <c r="CC19" s="221" t="s">
        <v>421</v>
      </c>
      <c r="CD19" s="220">
        <v>6740</v>
      </c>
      <c r="CE19" s="17">
        <v>0</v>
      </c>
      <c r="CF19" s="170"/>
    </row>
    <row r="20" spans="1:84" x14ac:dyDescent="0.25">
      <c r="A20" s="170" t="s">
        <v>30</v>
      </c>
      <c r="B20" s="170" t="s">
        <v>91</v>
      </c>
      <c r="C20" s="170" t="s">
        <v>157</v>
      </c>
      <c r="D20" s="170" t="s">
        <v>642</v>
      </c>
      <c r="E20" s="170" t="s">
        <v>643</v>
      </c>
      <c r="F20" s="170" t="s">
        <v>818</v>
      </c>
      <c r="G20" s="170"/>
      <c r="H20" s="170"/>
      <c r="I20" s="170"/>
      <c r="J20" s="17">
        <v>206</v>
      </c>
      <c r="K20" s="17">
        <v>27810</v>
      </c>
      <c r="L20" s="322">
        <v>446906.7</v>
      </c>
      <c r="M20" s="17">
        <v>49</v>
      </c>
      <c r="N20" s="17">
        <v>5929</v>
      </c>
      <c r="O20" s="322">
        <v>123501.07</v>
      </c>
      <c r="P20" s="17">
        <v>6</v>
      </c>
      <c r="Q20" s="17">
        <v>30</v>
      </c>
      <c r="R20" s="322">
        <v>5310</v>
      </c>
      <c r="S20" s="17">
        <v>6</v>
      </c>
      <c r="T20" s="17">
        <v>30</v>
      </c>
      <c r="U20" s="322">
        <v>5310</v>
      </c>
      <c r="V20" s="17">
        <v>0</v>
      </c>
      <c r="W20" s="322">
        <v>0</v>
      </c>
      <c r="X20" s="17">
        <v>0</v>
      </c>
      <c r="Y20" s="322">
        <v>0</v>
      </c>
      <c r="Z20" s="17">
        <v>0</v>
      </c>
      <c r="AA20" s="322">
        <v>0</v>
      </c>
      <c r="AB20" s="17">
        <v>0</v>
      </c>
      <c r="AC20" s="322">
        <v>0</v>
      </c>
      <c r="AD20" s="17">
        <v>0</v>
      </c>
      <c r="AE20" s="322">
        <v>0</v>
      </c>
      <c r="AF20" s="322">
        <v>3</v>
      </c>
      <c r="AG20" s="322">
        <v>24000</v>
      </c>
      <c r="AH20" s="322">
        <v>60</v>
      </c>
      <c r="AI20" s="322">
        <v>24000</v>
      </c>
      <c r="AO20" s="322">
        <v>267</v>
      </c>
      <c r="AP20" s="322">
        <v>78410</v>
      </c>
      <c r="AQ20" s="322">
        <v>683437.77</v>
      </c>
      <c r="AR20" s="17">
        <v>1</v>
      </c>
      <c r="AS20" s="17">
        <v>0</v>
      </c>
      <c r="AT20" s="210"/>
      <c r="AU20" s="210"/>
      <c r="AV20" s="17" t="s">
        <v>227</v>
      </c>
      <c r="AW20" s="215"/>
      <c r="AX20" s="215">
        <v>683437.77</v>
      </c>
      <c r="AY20" s="148">
        <v>546750.22</v>
      </c>
      <c r="AZ20" s="216" t="s">
        <v>441</v>
      </c>
      <c r="BA20" s="148">
        <v>136687.54999999999</v>
      </c>
      <c r="BB20" s="217"/>
      <c r="BC20" s="173"/>
      <c r="BD20" s="172"/>
      <c r="BE20" s="173"/>
      <c r="BF20" s="213"/>
      <c r="BG20" s="173"/>
      <c r="BH20" s="219"/>
      <c r="BI20" s="173"/>
      <c r="BJ20" s="222"/>
      <c r="BK20" s="173"/>
      <c r="BL20" s="222"/>
      <c r="BM20" s="173"/>
      <c r="BN20" s="222"/>
      <c r="BO20" s="173"/>
      <c r="BP20" s="222"/>
      <c r="BQ20" s="173"/>
      <c r="BR20" s="222"/>
      <c r="BS20" s="173"/>
      <c r="BT20" s="222"/>
      <c r="BU20" s="173"/>
      <c r="BV20" s="222"/>
      <c r="BW20" s="171">
        <v>546750.22</v>
      </c>
      <c r="BX20" s="220">
        <v>546750.22</v>
      </c>
      <c r="BY20" s="220">
        <v>546750.22</v>
      </c>
      <c r="BZ20" s="220">
        <v>0</v>
      </c>
      <c r="CA20" s="220">
        <v>546750.22</v>
      </c>
      <c r="CB20" s="221">
        <v>1</v>
      </c>
      <c r="CC20" s="221" t="s">
        <v>421</v>
      </c>
      <c r="CD20" s="220">
        <v>136687.54999999999</v>
      </c>
      <c r="CE20" s="17">
        <v>0</v>
      </c>
      <c r="CF20" s="170"/>
    </row>
    <row r="21" spans="1:84" x14ac:dyDescent="0.25">
      <c r="A21" s="170" t="s">
        <v>31</v>
      </c>
      <c r="B21" s="170" t="s">
        <v>92</v>
      </c>
      <c r="C21" s="170" t="s">
        <v>158</v>
      </c>
      <c r="D21" s="170" t="s">
        <v>644</v>
      </c>
      <c r="E21" s="170" t="s">
        <v>645</v>
      </c>
      <c r="F21" s="170" t="s">
        <v>819</v>
      </c>
      <c r="G21" s="170"/>
      <c r="H21" s="170"/>
      <c r="I21" s="170"/>
      <c r="J21" s="17">
        <v>6</v>
      </c>
      <c r="K21" s="17">
        <v>810</v>
      </c>
      <c r="L21" s="322">
        <v>13016.7</v>
      </c>
      <c r="M21" s="17">
        <v>1</v>
      </c>
      <c r="N21" s="17">
        <v>121</v>
      </c>
      <c r="O21" s="322">
        <v>2520.4299999999998</v>
      </c>
      <c r="P21" s="17">
        <v>2</v>
      </c>
      <c r="Q21" s="17">
        <v>10</v>
      </c>
      <c r="R21" s="322">
        <v>1770</v>
      </c>
      <c r="S21" s="17">
        <v>2</v>
      </c>
      <c r="T21" s="17">
        <v>10</v>
      </c>
      <c r="U21" s="322">
        <v>1770</v>
      </c>
      <c r="W21" s="322"/>
      <c r="Y21" s="322"/>
      <c r="AA21" s="322"/>
      <c r="AC21" s="322"/>
      <c r="AE21" s="322"/>
      <c r="AF21" s="322"/>
      <c r="AG21" s="322"/>
      <c r="AH21" s="322"/>
      <c r="AI21" s="322"/>
      <c r="AO21" s="322">
        <v>11</v>
      </c>
      <c r="AP21" s="322">
        <v>4400</v>
      </c>
      <c r="AQ21" s="322">
        <v>23477.13</v>
      </c>
      <c r="AR21" s="17">
        <v>1</v>
      </c>
      <c r="AS21" s="17">
        <v>0</v>
      </c>
      <c r="AT21" s="210"/>
      <c r="AU21" s="210"/>
      <c r="AV21" s="17" t="s">
        <v>227</v>
      </c>
      <c r="AW21" s="215"/>
      <c r="AX21" s="215">
        <v>23477.13</v>
      </c>
      <c r="AY21" s="148">
        <v>18781.7</v>
      </c>
      <c r="AZ21" s="216" t="s">
        <v>441</v>
      </c>
      <c r="BA21" s="148">
        <v>4695.43</v>
      </c>
      <c r="BB21" s="217"/>
      <c r="BC21" s="173"/>
      <c r="BD21" s="172"/>
      <c r="BE21" s="173"/>
      <c r="BF21" s="213"/>
      <c r="BG21" s="173"/>
      <c r="BH21" s="219"/>
      <c r="BI21" s="173"/>
      <c r="BJ21" s="222"/>
      <c r="BK21" s="173"/>
      <c r="BL21" s="222"/>
      <c r="BM21" s="173"/>
      <c r="BN21" s="222"/>
      <c r="BO21" s="173"/>
      <c r="BP21" s="222"/>
      <c r="BQ21" s="173"/>
      <c r="BR21" s="222"/>
      <c r="BS21" s="173"/>
      <c r="BT21" s="222"/>
      <c r="BU21" s="173"/>
      <c r="BV21" s="222"/>
      <c r="BW21" s="171">
        <v>18781.7</v>
      </c>
      <c r="BX21" s="220">
        <v>18781.7</v>
      </c>
      <c r="BY21" s="220">
        <v>18781.7</v>
      </c>
      <c r="BZ21" s="220">
        <v>0</v>
      </c>
      <c r="CA21" s="220">
        <v>18781.7</v>
      </c>
      <c r="CB21" s="221">
        <v>1</v>
      </c>
      <c r="CC21" s="221" t="s">
        <v>421</v>
      </c>
      <c r="CD21" s="220">
        <v>4695.43</v>
      </c>
      <c r="CE21" s="17">
        <v>0</v>
      </c>
      <c r="CF21" s="170"/>
    </row>
    <row r="22" spans="1:84" x14ac:dyDescent="0.25">
      <c r="A22" s="170" t="s">
        <v>32</v>
      </c>
      <c r="B22" s="170" t="s">
        <v>646</v>
      </c>
      <c r="C22" s="170" t="s">
        <v>647</v>
      </c>
      <c r="D22" s="170" t="s">
        <v>648</v>
      </c>
      <c r="E22" s="170" t="s">
        <v>649</v>
      </c>
      <c r="F22" s="170" t="s">
        <v>820</v>
      </c>
      <c r="G22" s="170"/>
      <c r="H22" s="170"/>
      <c r="I22" s="170"/>
      <c r="J22" s="17">
        <v>3</v>
      </c>
      <c r="K22" s="17">
        <v>405</v>
      </c>
      <c r="L22" s="322">
        <v>6508.35</v>
      </c>
      <c r="M22" s="17">
        <v>2</v>
      </c>
      <c r="N22" s="17">
        <v>242</v>
      </c>
      <c r="O22" s="322">
        <v>5040.8599999999997</v>
      </c>
      <c r="P22" s="17">
        <v>7</v>
      </c>
      <c r="Q22" s="17">
        <v>35</v>
      </c>
      <c r="R22" s="322">
        <v>6195</v>
      </c>
      <c r="S22" s="17">
        <v>3</v>
      </c>
      <c r="T22" s="17">
        <v>15</v>
      </c>
      <c r="U22" s="322">
        <v>2655</v>
      </c>
      <c r="W22" s="322"/>
      <c r="Y22" s="322"/>
      <c r="AA22" s="322"/>
      <c r="AC22" s="322"/>
      <c r="AE22" s="322"/>
      <c r="AF22" s="322"/>
      <c r="AG22" s="322"/>
      <c r="AH22" s="322"/>
      <c r="AI22" s="322"/>
      <c r="AO22" s="322">
        <v>15</v>
      </c>
      <c r="AP22" s="322">
        <v>6000</v>
      </c>
      <c r="AQ22" s="322">
        <v>26399.21</v>
      </c>
      <c r="AR22" s="17">
        <v>1</v>
      </c>
      <c r="AS22" s="17">
        <v>0</v>
      </c>
      <c r="AT22" s="210"/>
      <c r="AU22" s="210"/>
      <c r="AV22" s="17" t="s">
        <v>227</v>
      </c>
      <c r="AW22" s="215"/>
      <c r="AX22" s="215">
        <v>26399.21</v>
      </c>
      <c r="AY22" s="148">
        <v>21119.37</v>
      </c>
      <c r="AZ22" s="216" t="s">
        <v>441</v>
      </c>
      <c r="BA22" s="148">
        <v>5279.84</v>
      </c>
      <c r="BB22" s="217"/>
      <c r="BC22" s="173"/>
      <c r="BD22" s="172"/>
      <c r="BE22" s="173"/>
      <c r="BF22" s="213"/>
      <c r="BG22" s="173"/>
      <c r="BH22" s="219"/>
      <c r="BI22" s="173"/>
      <c r="BJ22" s="222"/>
      <c r="BK22" s="173"/>
      <c r="BL22" s="222"/>
      <c r="BM22" s="173"/>
      <c r="BN22" s="222"/>
      <c r="BO22" s="173"/>
      <c r="BP22" s="222"/>
      <c r="BQ22" s="173"/>
      <c r="BR22" s="222"/>
      <c r="BS22" s="173"/>
      <c r="BT22" s="222"/>
      <c r="BU22" s="173"/>
      <c r="BV22" s="222"/>
      <c r="BW22" s="171">
        <v>21119.37</v>
      </c>
      <c r="BX22" s="220">
        <v>21119.37</v>
      </c>
      <c r="BY22" s="220">
        <v>21119.37</v>
      </c>
      <c r="BZ22" s="220">
        <v>0</v>
      </c>
      <c r="CA22" s="220">
        <v>21119.37</v>
      </c>
      <c r="CB22" s="221">
        <v>1</v>
      </c>
      <c r="CC22" s="221" t="s">
        <v>421</v>
      </c>
      <c r="CD22" s="220">
        <v>5279.84</v>
      </c>
      <c r="CE22" s="17">
        <v>0</v>
      </c>
      <c r="CF22" s="170"/>
    </row>
    <row r="23" spans="1:84" x14ac:dyDescent="0.25">
      <c r="A23" s="170" t="s">
        <v>33</v>
      </c>
      <c r="B23" s="170" t="s">
        <v>93</v>
      </c>
      <c r="C23" s="170" t="s">
        <v>159</v>
      </c>
      <c r="D23" s="170" t="s">
        <v>650</v>
      </c>
      <c r="E23" s="170" t="s">
        <v>651</v>
      </c>
      <c r="F23" s="170" t="s">
        <v>821</v>
      </c>
      <c r="H23" s="170"/>
      <c r="I23" s="170"/>
      <c r="J23" s="17">
        <v>49</v>
      </c>
      <c r="K23" s="17">
        <v>6615</v>
      </c>
      <c r="L23" s="322">
        <v>106303.05</v>
      </c>
      <c r="M23" s="17">
        <v>26</v>
      </c>
      <c r="N23" s="17">
        <v>3146</v>
      </c>
      <c r="O23" s="322">
        <v>65531.18</v>
      </c>
      <c r="P23" s="17">
        <v>3</v>
      </c>
      <c r="Q23" s="17">
        <v>15</v>
      </c>
      <c r="R23" s="322">
        <v>2655</v>
      </c>
      <c r="S23" s="17">
        <v>3</v>
      </c>
      <c r="T23" s="17">
        <v>15</v>
      </c>
      <c r="U23" s="322">
        <v>2655</v>
      </c>
      <c r="W23" s="322"/>
      <c r="Y23" s="322"/>
      <c r="AA23" s="322"/>
      <c r="AC23" s="322"/>
      <c r="AE23" s="322"/>
      <c r="AF23" s="322"/>
      <c r="AG23" s="322"/>
      <c r="AH23" s="322"/>
      <c r="AI23" s="322"/>
      <c r="AO23" s="322">
        <v>81</v>
      </c>
      <c r="AP23" s="322">
        <v>32400</v>
      </c>
      <c r="AQ23" s="322">
        <v>209544.23</v>
      </c>
      <c r="AR23" s="17">
        <v>1</v>
      </c>
      <c r="AS23" s="17">
        <v>0</v>
      </c>
      <c r="AT23" s="210"/>
      <c r="AU23" s="210"/>
      <c r="AV23" s="17" t="s">
        <v>227</v>
      </c>
      <c r="AW23" s="215"/>
      <c r="AX23" s="215">
        <v>209544.23</v>
      </c>
      <c r="AY23" s="148">
        <v>167635.38</v>
      </c>
      <c r="AZ23" s="216" t="s">
        <v>441</v>
      </c>
      <c r="BA23" s="148">
        <v>41908.85</v>
      </c>
      <c r="BB23" s="217"/>
      <c r="BC23" s="173"/>
      <c r="BD23" s="172"/>
      <c r="BE23" s="173"/>
      <c r="BF23" s="213"/>
      <c r="BG23" s="173"/>
      <c r="BH23" s="219"/>
      <c r="BI23" s="173"/>
      <c r="BJ23" s="222"/>
      <c r="BK23" s="173"/>
      <c r="BL23" s="222"/>
      <c r="BM23" s="173"/>
      <c r="BN23" s="222"/>
      <c r="BO23" s="173"/>
      <c r="BP23" s="222"/>
      <c r="BQ23" s="173"/>
      <c r="BR23" s="222"/>
      <c r="BS23" s="173"/>
      <c r="BT23" s="222"/>
      <c r="BU23" s="173"/>
      <c r="BV23" s="222"/>
      <c r="BW23" s="171">
        <v>167635.38</v>
      </c>
      <c r="BX23" s="220">
        <v>167635.38</v>
      </c>
      <c r="BY23" s="220">
        <v>167635.38</v>
      </c>
      <c r="BZ23" s="220">
        <v>0</v>
      </c>
      <c r="CA23" s="220">
        <v>167635.38</v>
      </c>
      <c r="CB23" s="221">
        <v>1</v>
      </c>
      <c r="CC23" s="221" t="s">
        <v>421</v>
      </c>
      <c r="CD23" s="220">
        <v>41908.85</v>
      </c>
      <c r="CE23" s="17">
        <v>0</v>
      </c>
      <c r="CF23" s="170"/>
    </row>
    <row r="24" spans="1:84" x14ac:dyDescent="0.25">
      <c r="A24" s="170" t="s">
        <v>34</v>
      </c>
      <c r="B24" s="170" t="s">
        <v>94</v>
      </c>
      <c r="C24" s="170" t="s">
        <v>160</v>
      </c>
      <c r="D24" s="170" t="s">
        <v>652</v>
      </c>
      <c r="E24" s="170" t="s">
        <v>653</v>
      </c>
      <c r="F24" s="170" t="s">
        <v>822</v>
      </c>
      <c r="H24" s="170"/>
      <c r="I24" s="170"/>
      <c r="J24" s="17">
        <v>1</v>
      </c>
      <c r="K24" s="17">
        <v>135</v>
      </c>
      <c r="L24" s="322">
        <v>2169.4499999999998</v>
      </c>
      <c r="M24" s="17">
        <v>28</v>
      </c>
      <c r="N24" s="17">
        <v>3388</v>
      </c>
      <c r="O24" s="322">
        <v>70572.039999999994</v>
      </c>
      <c r="P24" s="17">
        <v>1</v>
      </c>
      <c r="Q24" s="17">
        <v>5</v>
      </c>
      <c r="R24" s="322">
        <v>885</v>
      </c>
      <c r="S24" s="17">
        <v>2</v>
      </c>
      <c r="T24" s="17">
        <v>10</v>
      </c>
      <c r="U24" s="322">
        <v>1770</v>
      </c>
      <c r="W24" s="322"/>
      <c r="Y24" s="322"/>
      <c r="AA24" s="322"/>
      <c r="AC24" s="322"/>
      <c r="AE24" s="322"/>
      <c r="AF24" s="322"/>
      <c r="AG24" s="322"/>
      <c r="AH24" s="322"/>
      <c r="AI24" s="322"/>
      <c r="AO24" s="322">
        <v>32</v>
      </c>
      <c r="AP24" s="322">
        <v>12800</v>
      </c>
      <c r="AQ24" s="322">
        <v>88196.49</v>
      </c>
      <c r="AR24" s="17">
        <v>1</v>
      </c>
      <c r="AS24" s="17">
        <v>0</v>
      </c>
      <c r="AT24" s="210"/>
      <c r="AU24" s="210"/>
      <c r="AV24" s="17" t="s">
        <v>227</v>
      </c>
      <c r="AW24" s="215"/>
      <c r="AX24" s="215">
        <v>88196.49</v>
      </c>
      <c r="AY24" s="148">
        <v>70557.19</v>
      </c>
      <c r="AZ24" s="216" t="s">
        <v>441</v>
      </c>
      <c r="BA24" s="148">
        <v>17639.3</v>
      </c>
      <c r="BB24" s="217"/>
      <c r="BC24" s="173"/>
      <c r="BD24" s="172"/>
      <c r="BE24" s="173"/>
      <c r="BF24" s="213"/>
      <c r="BG24" s="173"/>
      <c r="BH24" s="219"/>
      <c r="BI24" s="173"/>
      <c r="BJ24" s="222"/>
      <c r="BK24" s="173"/>
      <c r="BL24" s="222"/>
      <c r="BM24" s="173"/>
      <c r="BN24" s="222"/>
      <c r="BO24" s="173"/>
      <c r="BP24" s="222"/>
      <c r="BQ24" s="173"/>
      <c r="BR24" s="222"/>
      <c r="BS24" s="173"/>
      <c r="BT24" s="222"/>
      <c r="BU24" s="173"/>
      <c r="BV24" s="222"/>
      <c r="BW24" s="171">
        <v>70557.19</v>
      </c>
      <c r="BX24" s="220">
        <v>70557.19</v>
      </c>
      <c r="BY24" s="220">
        <v>70557.19</v>
      </c>
      <c r="BZ24" s="220">
        <v>0</v>
      </c>
      <c r="CA24" s="220">
        <v>70557.19</v>
      </c>
      <c r="CB24" s="221">
        <v>1</v>
      </c>
      <c r="CC24" s="221" t="s">
        <v>421</v>
      </c>
      <c r="CD24" s="220">
        <v>17639.3</v>
      </c>
      <c r="CE24" s="17">
        <v>0</v>
      </c>
      <c r="CF24" s="170"/>
    </row>
    <row r="25" spans="1:84" x14ac:dyDescent="0.25">
      <c r="A25" s="170" t="s">
        <v>35</v>
      </c>
      <c r="B25" s="170" t="s">
        <v>95</v>
      </c>
      <c r="C25" s="170" t="s">
        <v>161</v>
      </c>
      <c r="D25" s="170" t="s">
        <v>654</v>
      </c>
      <c r="E25" s="170" t="s">
        <v>655</v>
      </c>
      <c r="F25" s="170" t="s">
        <v>823</v>
      </c>
      <c r="H25" s="170"/>
      <c r="I25" s="170"/>
      <c r="J25" s="17">
        <v>69</v>
      </c>
      <c r="K25" s="17">
        <v>9315</v>
      </c>
      <c r="L25" s="322">
        <v>149692.04999999999</v>
      </c>
      <c r="M25" s="17">
        <v>29</v>
      </c>
      <c r="N25" s="17">
        <v>3509</v>
      </c>
      <c r="O25" s="322">
        <v>73092.47</v>
      </c>
      <c r="P25" s="17">
        <v>11</v>
      </c>
      <c r="Q25" s="17">
        <v>55</v>
      </c>
      <c r="R25" s="322">
        <v>9735</v>
      </c>
      <c r="S25" s="17">
        <v>9</v>
      </c>
      <c r="T25" s="17">
        <v>45</v>
      </c>
      <c r="U25" s="322">
        <v>7965</v>
      </c>
      <c r="W25" s="322"/>
      <c r="Y25" s="322"/>
      <c r="AA25" s="322"/>
      <c r="AC25" s="322"/>
      <c r="AE25" s="322"/>
      <c r="AF25" s="322"/>
      <c r="AG25" s="322"/>
      <c r="AH25" s="322"/>
      <c r="AI25" s="322"/>
      <c r="AO25" s="322">
        <v>118</v>
      </c>
      <c r="AP25" s="322">
        <v>44140</v>
      </c>
      <c r="AQ25" s="322">
        <v>284624.52</v>
      </c>
      <c r="AR25" s="17">
        <v>1</v>
      </c>
      <c r="AS25" s="17">
        <v>0</v>
      </c>
      <c r="AT25" s="210"/>
      <c r="AU25" s="210"/>
      <c r="AV25" s="17" t="s">
        <v>227</v>
      </c>
      <c r="AW25" s="215"/>
      <c r="AX25" s="215">
        <v>284624.52</v>
      </c>
      <c r="AY25" s="148">
        <v>227699.62</v>
      </c>
      <c r="AZ25" s="216" t="s">
        <v>441</v>
      </c>
      <c r="BA25" s="148">
        <v>56924.9</v>
      </c>
      <c r="BB25" s="217"/>
      <c r="BC25" s="218"/>
      <c r="BD25" s="172"/>
      <c r="BE25" s="173"/>
      <c r="BF25" s="213"/>
      <c r="BG25" s="173"/>
      <c r="BH25" s="219"/>
      <c r="BI25" s="173"/>
      <c r="BJ25" s="222"/>
      <c r="BK25" s="173"/>
      <c r="BL25" s="222"/>
      <c r="BM25" s="173"/>
      <c r="BN25" s="222"/>
      <c r="BO25" s="173"/>
      <c r="BP25" s="222"/>
      <c r="BQ25" s="173"/>
      <c r="BR25" s="222"/>
      <c r="BS25" s="173"/>
      <c r="BT25" s="222"/>
      <c r="BU25" s="173"/>
      <c r="BV25" s="222"/>
      <c r="BW25" s="171">
        <v>227699.62</v>
      </c>
      <c r="BX25" s="220">
        <v>227699.62</v>
      </c>
      <c r="BY25" s="220">
        <v>227699.62</v>
      </c>
      <c r="BZ25" s="220">
        <v>0</v>
      </c>
      <c r="CA25" s="220">
        <v>227699.62</v>
      </c>
      <c r="CB25" s="221">
        <v>1</v>
      </c>
      <c r="CC25" s="221" t="s">
        <v>421</v>
      </c>
      <c r="CD25" s="220">
        <v>56924.9</v>
      </c>
      <c r="CE25" s="17">
        <v>0</v>
      </c>
      <c r="CF25" s="170"/>
    </row>
    <row r="26" spans="1:84" x14ac:dyDescent="0.25">
      <c r="A26" s="170" t="s">
        <v>36</v>
      </c>
      <c r="B26" s="170" t="s">
        <v>96</v>
      </c>
      <c r="C26" s="170" t="s">
        <v>656</v>
      </c>
      <c r="D26" s="170" t="s">
        <v>657</v>
      </c>
      <c r="E26" s="170" t="s">
        <v>658</v>
      </c>
      <c r="F26" s="170" t="s">
        <v>824</v>
      </c>
      <c r="G26" s="170"/>
      <c r="H26" s="170"/>
      <c r="I26" s="170"/>
      <c r="J26" s="17">
        <v>0</v>
      </c>
      <c r="K26" s="17">
        <v>0</v>
      </c>
      <c r="L26" s="322">
        <v>0</v>
      </c>
      <c r="M26" s="17">
        <v>0</v>
      </c>
      <c r="N26" s="17">
        <v>0</v>
      </c>
      <c r="O26" s="322">
        <v>0</v>
      </c>
      <c r="P26" s="17">
        <v>7</v>
      </c>
      <c r="Q26" s="17">
        <v>35</v>
      </c>
      <c r="R26" s="322">
        <v>6195</v>
      </c>
      <c r="S26" s="17">
        <v>11</v>
      </c>
      <c r="T26" s="17">
        <v>55</v>
      </c>
      <c r="U26" s="322">
        <v>9735</v>
      </c>
      <c r="W26" s="322"/>
      <c r="Y26" s="322"/>
      <c r="AA26" s="322"/>
      <c r="AC26" s="322"/>
      <c r="AE26" s="322"/>
      <c r="AF26" s="322"/>
      <c r="AG26" s="322"/>
      <c r="AH26" s="322"/>
      <c r="AI26" s="322"/>
      <c r="AO26" s="322">
        <v>18</v>
      </c>
      <c r="AP26" s="322">
        <v>7200</v>
      </c>
      <c r="AQ26" s="322">
        <v>23130</v>
      </c>
      <c r="AR26" s="17">
        <v>1</v>
      </c>
      <c r="AS26" s="17">
        <v>0</v>
      </c>
      <c r="AT26" s="210"/>
      <c r="AU26" s="210"/>
      <c r="AV26" s="17" t="s">
        <v>227</v>
      </c>
      <c r="AW26" s="215"/>
      <c r="AX26" s="215">
        <v>23130</v>
      </c>
      <c r="AY26" s="148">
        <v>18504</v>
      </c>
      <c r="AZ26" s="216" t="s">
        <v>441</v>
      </c>
      <c r="BA26" s="148">
        <v>4626</v>
      </c>
      <c r="BB26" s="217"/>
      <c r="BC26" s="173"/>
      <c r="BD26" s="172"/>
      <c r="BE26" s="173"/>
      <c r="BF26" s="213"/>
      <c r="BG26" s="173"/>
      <c r="BH26" s="219"/>
      <c r="BI26" s="173"/>
      <c r="BJ26" s="222"/>
      <c r="BK26" s="173"/>
      <c r="BL26" s="222"/>
      <c r="BM26" s="173"/>
      <c r="BN26" s="222"/>
      <c r="BO26" s="173"/>
      <c r="BP26" s="222"/>
      <c r="BQ26" s="173"/>
      <c r="BR26" s="222"/>
      <c r="BS26" s="173"/>
      <c r="BT26" s="222"/>
      <c r="BU26" s="173"/>
      <c r="BV26" s="222"/>
      <c r="BW26" s="171">
        <v>18504</v>
      </c>
      <c r="BX26" s="220">
        <v>18504</v>
      </c>
      <c r="BY26" s="220">
        <v>18504</v>
      </c>
      <c r="BZ26" s="220">
        <v>0</v>
      </c>
      <c r="CA26" s="220">
        <v>18504</v>
      </c>
      <c r="CB26" s="221">
        <v>1</v>
      </c>
      <c r="CC26" s="221" t="s">
        <v>421</v>
      </c>
      <c r="CD26" s="220">
        <v>4626</v>
      </c>
      <c r="CE26" s="17">
        <v>0</v>
      </c>
      <c r="CF26" s="170"/>
    </row>
    <row r="27" spans="1:84" x14ac:dyDescent="0.25">
      <c r="A27" s="170" t="s">
        <v>37</v>
      </c>
      <c r="B27" s="170" t="s">
        <v>213</v>
      </c>
      <c r="C27" s="170" t="s">
        <v>162</v>
      </c>
      <c r="D27" s="170" t="s">
        <v>659</v>
      </c>
      <c r="E27" s="170" t="s">
        <v>660</v>
      </c>
      <c r="F27" s="170" t="s">
        <v>825</v>
      </c>
      <c r="H27" s="170"/>
      <c r="I27" s="170"/>
      <c r="J27" s="17">
        <v>3</v>
      </c>
      <c r="K27" s="17">
        <v>405</v>
      </c>
      <c r="L27" s="322">
        <v>6508.35</v>
      </c>
      <c r="M27" s="17">
        <v>1</v>
      </c>
      <c r="N27" s="17">
        <v>121</v>
      </c>
      <c r="O27" s="322">
        <v>2520.4299999999998</v>
      </c>
      <c r="P27" s="17">
        <v>5</v>
      </c>
      <c r="Q27" s="17">
        <v>25</v>
      </c>
      <c r="R27" s="322">
        <v>4425</v>
      </c>
      <c r="S27" s="17">
        <v>3</v>
      </c>
      <c r="T27" s="17">
        <v>15</v>
      </c>
      <c r="U27" s="322">
        <v>2655</v>
      </c>
      <c r="V27" s="17">
        <v>0</v>
      </c>
      <c r="W27" s="322">
        <v>0</v>
      </c>
      <c r="X27" s="17">
        <v>0</v>
      </c>
      <c r="Y27" s="322">
        <v>0</v>
      </c>
      <c r="Z27" s="17">
        <v>0</v>
      </c>
      <c r="AA27" s="322">
        <v>0</v>
      </c>
      <c r="AB27" s="17">
        <v>0</v>
      </c>
      <c r="AC27" s="322">
        <v>0</v>
      </c>
      <c r="AD27" s="17">
        <v>0</v>
      </c>
      <c r="AE27" s="322">
        <v>0</v>
      </c>
      <c r="AF27" s="322">
        <v>1</v>
      </c>
      <c r="AG27" s="322">
        <v>8000</v>
      </c>
      <c r="AH27" s="322">
        <v>20</v>
      </c>
      <c r="AI27" s="322">
        <v>8000</v>
      </c>
      <c r="AO27" s="322">
        <v>12</v>
      </c>
      <c r="AP27" s="322">
        <v>4800</v>
      </c>
      <c r="AQ27" s="322">
        <v>28908.78</v>
      </c>
      <c r="AR27" s="17">
        <v>1</v>
      </c>
      <c r="AS27" s="17">
        <v>0</v>
      </c>
      <c r="AT27" s="210"/>
      <c r="AU27" s="210"/>
      <c r="AV27" s="17" t="s">
        <v>227</v>
      </c>
      <c r="AW27" s="215"/>
      <c r="AX27" s="215">
        <v>28908.78</v>
      </c>
      <c r="AY27" s="148">
        <v>23127.02</v>
      </c>
      <c r="AZ27" s="216" t="s">
        <v>441</v>
      </c>
      <c r="BA27" s="148">
        <v>5781.76</v>
      </c>
      <c r="BB27" s="217"/>
      <c r="BC27" s="173"/>
      <c r="BD27" s="172"/>
      <c r="BE27" s="173"/>
      <c r="BF27" s="213"/>
      <c r="BG27" s="173"/>
      <c r="BH27" s="219"/>
      <c r="BI27" s="173"/>
      <c r="BJ27" s="222"/>
      <c r="BK27" s="173"/>
      <c r="BL27" s="222"/>
      <c r="BM27" s="173"/>
      <c r="BN27" s="222"/>
      <c r="BO27" s="173"/>
      <c r="BP27" s="222"/>
      <c r="BQ27" s="173"/>
      <c r="BR27" s="222"/>
      <c r="BS27" s="173"/>
      <c r="BT27" s="222"/>
      <c r="BU27" s="173"/>
      <c r="BV27" s="222"/>
      <c r="BW27" s="171">
        <v>23127.02</v>
      </c>
      <c r="BX27" s="220">
        <v>23127.02</v>
      </c>
      <c r="BY27" s="220">
        <v>23127.02</v>
      </c>
      <c r="BZ27" s="220">
        <v>0</v>
      </c>
      <c r="CA27" s="220">
        <v>23127.02</v>
      </c>
      <c r="CB27" s="221">
        <v>1</v>
      </c>
      <c r="CC27" s="221" t="s">
        <v>421</v>
      </c>
      <c r="CD27" s="220">
        <v>5781.76</v>
      </c>
      <c r="CE27" s="17">
        <v>0</v>
      </c>
      <c r="CF27" s="170"/>
    </row>
    <row r="28" spans="1:84" x14ac:dyDescent="0.25">
      <c r="A28" s="170" t="s">
        <v>119</v>
      </c>
      <c r="B28" s="170" t="s">
        <v>214</v>
      </c>
      <c r="C28" s="170" t="s">
        <v>163</v>
      </c>
      <c r="D28" s="170" t="s">
        <v>661</v>
      </c>
      <c r="E28" s="170" t="s">
        <v>662</v>
      </c>
      <c r="F28" s="170" t="s">
        <v>826</v>
      </c>
      <c r="H28" s="170"/>
      <c r="I28" s="170"/>
      <c r="J28" s="17">
        <v>0</v>
      </c>
      <c r="K28" s="17">
        <v>0</v>
      </c>
      <c r="L28" s="322">
        <v>0</v>
      </c>
      <c r="M28" s="17">
        <v>0</v>
      </c>
      <c r="N28" s="17">
        <v>0</v>
      </c>
      <c r="O28" s="322">
        <v>0</v>
      </c>
      <c r="P28" s="17">
        <v>0</v>
      </c>
      <c r="Q28" s="17">
        <v>0</v>
      </c>
      <c r="R28" s="322">
        <v>0</v>
      </c>
      <c r="S28" s="17">
        <v>10</v>
      </c>
      <c r="T28" s="17">
        <v>50</v>
      </c>
      <c r="U28" s="322">
        <v>8850</v>
      </c>
      <c r="W28" s="322"/>
      <c r="Y28" s="322"/>
      <c r="AA28" s="322"/>
      <c r="AC28" s="322"/>
      <c r="AE28" s="322"/>
      <c r="AF28" s="322"/>
      <c r="AG28" s="322"/>
      <c r="AH28" s="322"/>
      <c r="AI28" s="322"/>
      <c r="AO28" s="322">
        <v>10</v>
      </c>
      <c r="AP28" s="322">
        <v>4000</v>
      </c>
      <c r="AQ28" s="322">
        <v>12850</v>
      </c>
      <c r="AR28" s="17">
        <v>1</v>
      </c>
      <c r="AS28" s="17">
        <v>0</v>
      </c>
      <c r="AT28" s="210"/>
      <c r="AU28" s="210"/>
      <c r="AV28" s="17" t="s">
        <v>227</v>
      </c>
      <c r="AW28" s="215"/>
      <c r="AX28" s="215">
        <v>12850</v>
      </c>
      <c r="AY28" s="148">
        <v>10280</v>
      </c>
      <c r="AZ28" s="216" t="s">
        <v>441</v>
      </c>
      <c r="BA28" s="148">
        <v>2570</v>
      </c>
      <c r="BB28" s="217"/>
      <c r="BC28" s="173"/>
      <c r="BD28" s="172"/>
      <c r="BE28" s="173"/>
      <c r="BF28" s="213"/>
      <c r="BG28" s="173"/>
      <c r="BH28" s="219"/>
      <c r="BI28" s="173"/>
      <c r="BJ28" s="222"/>
      <c r="BK28" s="173"/>
      <c r="BL28" s="222"/>
      <c r="BM28" s="173"/>
      <c r="BN28" s="222"/>
      <c r="BO28" s="173"/>
      <c r="BP28" s="222"/>
      <c r="BQ28" s="173"/>
      <c r="BR28" s="222"/>
      <c r="BS28" s="173"/>
      <c r="BT28" s="222"/>
      <c r="BU28" s="173"/>
      <c r="BV28" s="222"/>
      <c r="BW28" s="171">
        <v>10280</v>
      </c>
      <c r="BX28" s="220">
        <v>10280</v>
      </c>
      <c r="BY28" s="220">
        <v>10280</v>
      </c>
      <c r="BZ28" s="220">
        <v>0</v>
      </c>
      <c r="CA28" s="220">
        <v>10280</v>
      </c>
      <c r="CB28" s="221">
        <v>1</v>
      </c>
      <c r="CC28" s="221" t="s">
        <v>421</v>
      </c>
      <c r="CD28" s="220">
        <v>2570</v>
      </c>
      <c r="CE28" s="17">
        <v>0</v>
      </c>
      <c r="CF28" s="170"/>
    </row>
    <row r="29" spans="1:84" x14ac:dyDescent="0.25">
      <c r="A29" s="170" t="s">
        <v>38</v>
      </c>
      <c r="B29" s="170" t="s">
        <v>115</v>
      </c>
      <c r="C29" s="170" t="s">
        <v>164</v>
      </c>
      <c r="D29" s="170" t="s">
        <v>663</v>
      </c>
      <c r="E29" s="170" t="s">
        <v>664</v>
      </c>
      <c r="F29" s="170" t="s">
        <v>827</v>
      </c>
      <c r="H29" s="170"/>
      <c r="I29" s="170"/>
      <c r="J29" s="17">
        <v>117</v>
      </c>
      <c r="K29" s="17">
        <v>15795</v>
      </c>
      <c r="L29" s="322">
        <v>253825.65</v>
      </c>
      <c r="M29" s="17">
        <v>274</v>
      </c>
      <c r="N29" s="17">
        <v>33154</v>
      </c>
      <c r="O29" s="322">
        <v>690597.82</v>
      </c>
      <c r="P29" s="17">
        <v>11</v>
      </c>
      <c r="Q29" s="17">
        <v>55</v>
      </c>
      <c r="R29" s="322">
        <v>9735</v>
      </c>
      <c r="S29" s="17">
        <v>11</v>
      </c>
      <c r="T29" s="17">
        <v>55</v>
      </c>
      <c r="U29" s="322">
        <v>9735</v>
      </c>
      <c r="V29" s="17">
        <v>0</v>
      </c>
      <c r="W29" s="322">
        <v>0</v>
      </c>
      <c r="X29" s="17">
        <v>0</v>
      </c>
      <c r="Y29" s="322">
        <v>0</v>
      </c>
      <c r="Z29" s="17">
        <v>0</v>
      </c>
      <c r="AA29" s="322">
        <v>0</v>
      </c>
      <c r="AB29" s="17">
        <v>0</v>
      </c>
      <c r="AC29" s="322">
        <v>0</v>
      </c>
      <c r="AD29" s="17">
        <v>0</v>
      </c>
      <c r="AE29" s="322">
        <v>0</v>
      </c>
      <c r="AF29" s="322">
        <v>1</v>
      </c>
      <c r="AG29" s="322">
        <v>8000</v>
      </c>
      <c r="AH29" s="322">
        <v>20</v>
      </c>
      <c r="AI29" s="322">
        <v>8000</v>
      </c>
      <c r="AO29" s="322">
        <v>413</v>
      </c>
      <c r="AP29" s="322">
        <v>111990</v>
      </c>
      <c r="AQ29" s="322">
        <v>1083883.47</v>
      </c>
      <c r="AR29" s="17">
        <v>1</v>
      </c>
      <c r="AS29" s="17">
        <v>0</v>
      </c>
      <c r="AT29" s="210"/>
      <c r="AU29" s="210"/>
      <c r="AV29" s="17" t="s">
        <v>227</v>
      </c>
      <c r="AW29" s="215"/>
      <c r="AX29" s="215">
        <v>1083883.47</v>
      </c>
      <c r="AY29" s="148">
        <v>867106.78</v>
      </c>
      <c r="AZ29" s="216" t="s">
        <v>441</v>
      </c>
      <c r="BA29" s="148">
        <v>216776.69</v>
      </c>
      <c r="BB29" s="217"/>
      <c r="BC29" s="173"/>
      <c r="BD29" s="172"/>
      <c r="BE29" s="173"/>
      <c r="BF29" s="213"/>
      <c r="BG29" s="173"/>
      <c r="BH29" s="219"/>
      <c r="BI29" s="173"/>
      <c r="BJ29" s="222"/>
      <c r="BK29" s="173"/>
      <c r="BL29" s="222"/>
      <c r="BM29" s="173"/>
      <c r="BN29" s="222"/>
      <c r="BO29" s="173"/>
      <c r="BP29" s="222"/>
      <c r="BQ29" s="173"/>
      <c r="BR29" s="222"/>
      <c r="BS29" s="173"/>
      <c r="BT29" s="222"/>
      <c r="BU29" s="173"/>
      <c r="BV29" s="222"/>
      <c r="BW29" s="171">
        <v>867106.78</v>
      </c>
      <c r="BX29" s="220">
        <v>867106.78</v>
      </c>
      <c r="BY29" s="220">
        <v>867106.78</v>
      </c>
      <c r="BZ29" s="220">
        <v>0</v>
      </c>
      <c r="CA29" s="220">
        <v>867106.78</v>
      </c>
      <c r="CB29" s="221">
        <v>1</v>
      </c>
      <c r="CC29" s="221" t="s">
        <v>421</v>
      </c>
      <c r="CD29" s="220">
        <v>216776.69</v>
      </c>
      <c r="CE29" s="17">
        <v>0</v>
      </c>
      <c r="CF29" s="170"/>
    </row>
    <row r="30" spans="1:84" x14ac:dyDescent="0.25">
      <c r="A30" s="170" t="s">
        <v>39</v>
      </c>
      <c r="B30" s="170" t="s">
        <v>122</v>
      </c>
      <c r="C30" s="170" t="s">
        <v>165</v>
      </c>
      <c r="D30" s="170" t="s">
        <v>665</v>
      </c>
      <c r="E30" s="170" t="s">
        <v>666</v>
      </c>
      <c r="F30" s="170" t="s">
        <v>828</v>
      </c>
      <c r="H30" s="170"/>
      <c r="I30" s="170"/>
      <c r="J30" s="17">
        <v>15</v>
      </c>
      <c r="K30" s="17">
        <v>2025</v>
      </c>
      <c r="L30" s="322">
        <v>32541.75</v>
      </c>
      <c r="M30" s="17">
        <v>12</v>
      </c>
      <c r="N30" s="17">
        <v>1452</v>
      </c>
      <c r="O30" s="322">
        <v>30245.16</v>
      </c>
      <c r="P30" s="17">
        <v>7</v>
      </c>
      <c r="Q30" s="17">
        <v>35</v>
      </c>
      <c r="R30" s="322">
        <v>6195</v>
      </c>
      <c r="S30" s="17">
        <v>22</v>
      </c>
      <c r="T30" s="17">
        <v>110</v>
      </c>
      <c r="U30" s="322">
        <v>19470</v>
      </c>
      <c r="V30" s="17">
        <v>0</v>
      </c>
      <c r="W30" s="322">
        <v>0</v>
      </c>
      <c r="X30" s="17">
        <v>0</v>
      </c>
      <c r="Y30" s="322">
        <v>0</v>
      </c>
      <c r="Z30" s="17">
        <v>0</v>
      </c>
      <c r="AA30" s="322">
        <v>0</v>
      </c>
      <c r="AB30" s="17">
        <v>0</v>
      </c>
      <c r="AC30" s="322">
        <v>0</v>
      </c>
      <c r="AD30" s="17">
        <v>0</v>
      </c>
      <c r="AE30" s="322">
        <v>0</v>
      </c>
      <c r="AF30" s="322">
        <v>2</v>
      </c>
      <c r="AG30" s="322">
        <v>16000</v>
      </c>
      <c r="AH30" s="322">
        <v>40</v>
      </c>
      <c r="AI30" s="322">
        <v>16000</v>
      </c>
      <c r="AO30" s="322">
        <v>56</v>
      </c>
      <c r="AP30" s="322">
        <v>22400</v>
      </c>
      <c r="AQ30" s="322">
        <v>126851.91</v>
      </c>
      <c r="AR30" s="17">
        <v>1</v>
      </c>
      <c r="AS30" s="17">
        <v>0</v>
      </c>
      <c r="AT30" s="210"/>
      <c r="AU30" s="210"/>
      <c r="AV30" s="17" t="s">
        <v>227</v>
      </c>
      <c r="AW30" s="215"/>
      <c r="AX30" s="215">
        <v>126851.91</v>
      </c>
      <c r="AY30" s="148">
        <v>101481.53</v>
      </c>
      <c r="AZ30" s="216" t="s">
        <v>441</v>
      </c>
      <c r="BA30" s="148">
        <v>25370.38</v>
      </c>
      <c r="BB30" s="217"/>
      <c r="BC30" s="173"/>
      <c r="BD30" s="172"/>
      <c r="BE30" s="173"/>
      <c r="BF30" s="213"/>
      <c r="BG30" s="173"/>
      <c r="BH30" s="219"/>
      <c r="BI30" s="173"/>
      <c r="BJ30" s="222"/>
      <c r="BK30" s="173"/>
      <c r="BL30" s="222"/>
      <c r="BM30" s="173"/>
      <c r="BN30" s="222"/>
      <c r="BO30" s="173"/>
      <c r="BP30" s="222"/>
      <c r="BQ30" s="173"/>
      <c r="BR30" s="222"/>
      <c r="BS30" s="173"/>
      <c r="BT30" s="222"/>
      <c r="BU30" s="173"/>
      <c r="BV30" s="222"/>
      <c r="BW30" s="171">
        <v>101481.53</v>
      </c>
      <c r="BX30" s="220">
        <v>101481.53</v>
      </c>
      <c r="BY30" s="220">
        <v>101481.53</v>
      </c>
      <c r="BZ30" s="220">
        <v>0</v>
      </c>
      <c r="CA30" s="220">
        <v>101481.53</v>
      </c>
      <c r="CB30" s="221">
        <v>1</v>
      </c>
      <c r="CC30" s="221" t="s">
        <v>421</v>
      </c>
      <c r="CD30" s="220">
        <v>25370.38</v>
      </c>
      <c r="CE30" s="17">
        <v>0</v>
      </c>
      <c r="CF30" s="170"/>
    </row>
    <row r="31" spans="1:84" x14ac:dyDescent="0.25">
      <c r="A31" s="170" t="s">
        <v>131</v>
      </c>
      <c r="B31" s="170" t="s">
        <v>134</v>
      </c>
      <c r="C31" s="170" t="s">
        <v>166</v>
      </c>
      <c r="D31" s="170" t="s">
        <v>667</v>
      </c>
      <c r="E31" s="170" t="s">
        <v>668</v>
      </c>
      <c r="F31" s="170" t="s">
        <v>829</v>
      </c>
      <c r="H31" s="170" t="s">
        <v>830</v>
      </c>
      <c r="I31" s="170"/>
      <c r="J31" s="17">
        <v>2</v>
      </c>
      <c r="K31" s="17">
        <v>270</v>
      </c>
      <c r="L31" s="322">
        <v>4338.8999999999996</v>
      </c>
      <c r="M31" s="17">
        <v>3</v>
      </c>
      <c r="N31" s="17">
        <v>363</v>
      </c>
      <c r="O31" s="322">
        <v>7561.29</v>
      </c>
      <c r="P31" s="17">
        <v>0</v>
      </c>
      <c r="Q31" s="17">
        <v>0</v>
      </c>
      <c r="R31" s="322">
        <v>0</v>
      </c>
      <c r="S31" s="17">
        <v>0</v>
      </c>
      <c r="T31" s="17">
        <v>0</v>
      </c>
      <c r="U31" s="322">
        <v>0</v>
      </c>
      <c r="W31" s="322"/>
      <c r="Y31" s="322"/>
      <c r="AA31" s="322"/>
      <c r="AC31" s="322"/>
      <c r="AE31" s="322"/>
      <c r="AF31" s="322"/>
      <c r="AG31" s="322"/>
      <c r="AH31" s="322"/>
      <c r="AI31" s="322"/>
      <c r="AO31" s="322">
        <v>5</v>
      </c>
      <c r="AP31" s="322">
        <v>2000</v>
      </c>
      <c r="AQ31" s="322">
        <v>13900.19</v>
      </c>
      <c r="AR31" s="17">
        <v>1</v>
      </c>
      <c r="AS31" s="17">
        <v>0</v>
      </c>
      <c r="AT31" s="210"/>
      <c r="AU31" s="210"/>
      <c r="AV31" s="17" t="s">
        <v>227</v>
      </c>
      <c r="AW31" s="215"/>
      <c r="AX31" s="215">
        <v>13900.189999999999</v>
      </c>
      <c r="AY31" s="148">
        <v>11120.15</v>
      </c>
      <c r="AZ31" s="216" t="s">
        <v>441</v>
      </c>
      <c r="BA31" s="148">
        <v>2780.04</v>
      </c>
      <c r="BB31" s="217"/>
      <c r="BC31" s="173"/>
      <c r="BD31" s="172"/>
      <c r="BE31" s="173"/>
      <c r="BF31" s="213"/>
      <c r="BG31" s="173"/>
      <c r="BH31" s="219"/>
      <c r="BI31" s="173"/>
      <c r="BJ31" s="222"/>
      <c r="BK31" s="173"/>
      <c r="BL31" s="222"/>
      <c r="BM31" s="173"/>
      <c r="BN31" s="222"/>
      <c r="BO31" s="173"/>
      <c r="BP31" s="222"/>
      <c r="BQ31" s="173"/>
      <c r="BR31" s="222"/>
      <c r="BS31" s="173"/>
      <c r="BT31" s="222"/>
      <c r="BU31" s="173"/>
      <c r="BV31" s="222"/>
      <c r="BW31" s="171">
        <v>11120.15</v>
      </c>
      <c r="BX31" s="220">
        <v>11120.15</v>
      </c>
      <c r="BY31" s="220">
        <v>11120.15</v>
      </c>
      <c r="BZ31" s="220">
        <v>0</v>
      </c>
      <c r="CA31" s="220">
        <v>11120.15</v>
      </c>
      <c r="CB31" s="221">
        <v>1</v>
      </c>
      <c r="CC31" s="221" t="s">
        <v>421</v>
      </c>
      <c r="CD31" s="220">
        <v>2780.04</v>
      </c>
      <c r="CE31" s="17">
        <v>0</v>
      </c>
      <c r="CF31" s="170"/>
    </row>
    <row r="32" spans="1:84" x14ac:dyDescent="0.25">
      <c r="A32" s="170" t="s">
        <v>40</v>
      </c>
      <c r="B32" s="170" t="s">
        <v>97</v>
      </c>
      <c r="C32" s="170" t="s">
        <v>167</v>
      </c>
      <c r="D32" s="170" t="s">
        <v>669</v>
      </c>
      <c r="E32" s="170" t="s">
        <v>670</v>
      </c>
      <c r="F32" s="170" t="s">
        <v>831</v>
      </c>
      <c r="H32" s="170"/>
      <c r="I32" s="170"/>
      <c r="J32" s="17">
        <v>178</v>
      </c>
      <c r="K32" s="17">
        <v>24030</v>
      </c>
      <c r="L32" s="322">
        <v>386162.1</v>
      </c>
      <c r="M32" s="17">
        <v>35</v>
      </c>
      <c r="N32" s="17">
        <v>4235</v>
      </c>
      <c r="O32" s="322">
        <v>88215.05</v>
      </c>
      <c r="P32" s="17">
        <v>8</v>
      </c>
      <c r="Q32" s="17">
        <v>40</v>
      </c>
      <c r="R32" s="322">
        <v>7080</v>
      </c>
      <c r="S32" s="17">
        <v>6</v>
      </c>
      <c r="T32" s="17">
        <v>30</v>
      </c>
      <c r="U32" s="322">
        <v>5310</v>
      </c>
      <c r="V32" s="17">
        <v>0</v>
      </c>
      <c r="W32" s="322">
        <v>0</v>
      </c>
      <c r="X32" s="17">
        <v>0</v>
      </c>
      <c r="Y32" s="322">
        <v>0</v>
      </c>
      <c r="Z32" s="17">
        <v>0</v>
      </c>
      <c r="AA32" s="322">
        <v>0</v>
      </c>
      <c r="AB32" s="17">
        <v>0</v>
      </c>
      <c r="AC32" s="322">
        <v>0</v>
      </c>
      <c r="AD32" s="17">
        <v>0</v>
      </c>
      <c r="AE32" s="322">
        <v>0</v>
      </c>
      <c r="AF32" s="322">
        <v>1</v>
      </c>
      <c r="AG32" s="322">
        <v>8000</v>
      </c>
      <c r="AH32" s="322">
        <v>20</v>
      </c>
      <c r="AI32" s="322">
        <v>8000</v>
      </c>
      <c r="AO32" s="322">
        <v>227</v>
      </c>
      <c r="AP32" s="322">
        <v>69210</v>
      </c>
      <c r="AQ32" s="322">
        <v>563977.15</v>
      </c>
      <c r="AR32" s="17">
        <v>1</v>
      </c>
      <c r="AS32" s="17">
        <v>0</v>
      </c>
      <c r="AT32" s="210"/>
      <c r="AU32" s="210"/>
      <c r="AV32" s="17" t="s">
        <v>227</v>
      </c>
      <c r="AW32" s="215"/>
      <c r="AX32" s="215">
        <v>563977.14999999991</v>
      </c>
      <c r="AY32" s="148">
        <v>451181.72</v>
      </c>
      <c r="AZ32" s="216" t="s">
        <v>441</v>
      </c>
      <c r="BA32" s="148">
        <v>112795.43</v>
      </c>
      <c r="BB32" s="217"/>
      <c r="BC32" s="173"/>
      <c r="BD32" s="172"/>
      <c r="BE32" s="218"/>
      <c r="BF32" s="172"/>
      <c r="BG32" s="218"/>
      <c r="BH32" s="219"/>
      <c r="BI32" s="173"/>
      <c r="BJ32" s="222"/>
      <c r="BK32" s="173"/>
      <c r="BL32" s="222"/>
      <c r="BM32" s="173"/>
      <c r="BN32" s="222"/>
      <c r="BO32" s="173"/>
      <c r="BP32" s="222"/>
      <c r="BQ32" s="173"/>
      <c r="BR32" s="222"/>
      <c r="BS32" s="173"/>
      <c r="BT32" s="222"/>
      <c r="BU32" s="173"/>
      <c r="BV32" s="222"/>
      <c r="BW32" s="171">
        <v>451181.72</v>
      </c>
      <c r="BX32" s="220">
        <v>451181.72</v>
      </c>
      <c r="BY32" s="220">
        <v>451181.72</v>
      </c>
      <c r="BZ32" s="220">
        <v>0</v>
      </c>
      <c r="CA32" s="220">
        <v>451181.72</v>
      </c>
      <c r="CB32" s="221">
        <v>1</v>
      </c>
      <c r="CC32" s="221" t="s">
        <v>421</v>
      </c>
      <c r="CD32" s="220">
        <v>112795.43</v>
      </c>
      <c r="CE32" s="17">
        <v>0</v>
      </c>
      <c r="CF32" s="170"/>
    </row>
    <row r="33" spans="1:84" x14ac:dyDescent="0.25">
      <c r="A33" s="170" t="s">
        <v>41</v>
      </c>
      <c r="B33" s="170" t="s">
        <v>135</v>
      </c>
      <c r="C33" s="170" t="s">
        <v>168</v>
      </c>
      <c r="D33" s="170" t="s">
        <v>671</v>
      </c>
      <c r="E33" s="170" t="s">
        <v>672</v>
      </c>
      <c r="F33" s="170" t="s">
        <v>832</v>
      </c>
      <c r="H33" s="170"/>
      <c r="I33" s="170"/>
      <c r="J33" s="17">
        <v>45</v>
      </c>
      <c r="K33" s="17">
        <v>6075</v>
      </c>
      <c r="L33" s="322">
        <v>97625.25</v>
      </c>
      <c r="M33" s="17">
        <v>30</v>
      </c>
      <c r="N33" s="17">
        <v>3630</v>
      </c>
      <c r="O33" s="322">
        <v>75612.899999999994</v>
      </c>
      <c r="P33" s="17">
        <v>12</v>
      </c>
      <c r="Q33" s="17">
        <v>60</v>
      </c>
      <c r="R33" s="322">
        <v>10620</v>
      </c>
      <c r="S33" s="17">
        <v>15</v>
      </c>
      <c r="T33" s="17">
        <v>75</v>
      </c>
      <c r="U33" s="322">
        <v>13275</v>
      </c>
      <c r="W33" s="322"/>
      <c r="Y33" s="322"/>
      <c r="AA33" s="322"/>
      <c r="AC33" s="322"/>
      <c r="AE33" s="322"/>
      <c r="AF33" s="322"/>
      <c r="AG33" s="322"/>
      <c r="AH33" s="322"/>
      <c r="AI33" s="322"/>
      <c r="AO33" s="322">
        <v>102</v>
      </c>
      <c r="AP33" s="322">
        <v>40460</v>
      </c>
      <c r="AQ33" s="322">
        <v>237593.15</v>
      </c>
      <c r="AR33" s="17">
        <v>1</v>
      </c>
      <c r="AS33" s="17">
        <v>0</v>
      </c>
      <c r="AT33" s="210"/>
      <c r="AU33" s="210"/>
      <c r="AV33" s="17" t="s">
        <v>227</v>
      </c>
      <c r="AW33" s="215"/>
      <c r="AX33" s="215">
        <v>237593.15</v>
      </c>
      <c r="AY33" s="148">
        <v>190074.52</v>
      </c>
      <c r="AZ33" s="216" t="s">
        <v>441</v>
      </c>
      <c r="BA33" s="148">
        <v>47518.63</v>
      </c>
      <c r="BB33" s="217"/>
      <c r="BC33" s="173"/>
      <c r="BD33" s="172"/>
      <c r="BE33" s="224"/>
      <c r="BF33" s="225"/>
      <c r="BG33" s="173"/>
      <c r="BH33" s="219"/>
      <c r="BI33" s="173"/>
      <c r="BJ33" s="222"/>
      <c r="BK33" s="173"/>
      <c r="BL33" s="222"/>
      <c r="BM33" s="173"/>
      <c r="BN33" s="222"/>
      <c r="BO33" s="173"/>
      <c r="BP33" s="222"/>
      <c r="BQ33" s="173"/>
      <c r="BR33" s="222"/>
      <c r="BS33" s="173"/>
      <c r="BT33" s="222"/>
      <c r="BU33" s="173"/>
      <c r="BV33" s="222"/>
      <c r="BW33" s="171">
        <v>190074.52</v>
      </c>
      <c r="BX33" s="220">
        <v>190074.52</v>
      </c>
      <c r="BY33" s="220">
        <v>190074.52</v>
      </c>
      <c r="BZ33" s="220">
        <v>0</v>
      </c>
      <c r="CA33" s="220">
        <v>190074.52</v>
      </c>
      <c r="CB33" s="221">
        <v>1</v>
      </c>
      <c r="CC33" s="221" t="s">
        <v>421</v>
      </c>
      <c r="CD33" s="220">
        <v>47518.63</v>
      </c>
      <c r="CE33" s="17">
        <v>0</v>
      </c>
      <c r="CF33" s="170"/>
    </row>
    <row r="34" spans="1:84" x14ac:dyDescent="0.25">
      <c r="A34" s="170" t="s">
        <v>42</v>
      </c>
      <c r="B34" s="170" t="s">
        <v>98</v>
      </c>
      <c r="C34" s="170" t="s">
        <v>169</v>
      </c>
      <c r="D34" s="170" t="s">
        <v>673</v>
      </c>
      <c r="E34" s="170" t="s">
        <v>674</v>
      </c>
      <c r="F34" s="170" t="s">
        <v>833</v>
      </c>
      <c r="H34" s="170"/>
      <c r="I34" s="170"/>
      <c r="J34" s="17">
        <v>137</v>
      </c>
      <c r="K34" s="17">
        <v>18495</v>
      </c>
      <c r="L34" s="322">
        <v>297214.65000000002</v>
      </c>
      <c r="M34" s="17">
        <v>25</v>
      </c>
      <c r="N34" s="17">
        <v>3025</v>
      </c>
      <c r="O34" s="322">
        <v>63010.75</v>
      </c>
      <c r="P34" s="17">
        <v>17</v>
      </c>
      <c r="Q34" s="17">
        <v>85</v>
      </c>
      <c r="R34" s="322">
        <v>15045</v>
      </c>
      <c r="S34" s="17">
        <v>25</v>
      </c>
      <c r="T34" s="17">
        <v>125</v>
      </c>
      <c r="U34" s="322">
        <v>22125</v>
      </c>
      <c r="V34" s="17">
        <v>0</v>
      </c>
      <c r="W34" s="322">
        <v>0</v>
      </c>
      <c r="X34" s="17">
        <v>0</v>
      </c>
      <c r="Y34" s="322">
        <v>0</v>
      </c>
      <c r="Z34" s="17">
        <v>0</v>
      </c>
      <c r="AA34" s="322">
        <v>0</v>
      </c>
      <c r="AB34" s="17">
        <v>0</v>
      </c>
      <c r="AC34" s="322">
        <v>0</v>
      </c>
      <c r="AD34" s="17">
        <v>0</v>
      </c>
      <c r="AE34" s="322">
        <v>0</v>
      </c>
      <c r="AF34" s="322">
        <v>2</v>
      </c>
      <c r="AG34" s="322">
        <v>16000</v>
      </c>
      <c r="AH34" s="322">
        <v>40</v>
      </c>
      <c r="AI34" s="322">
        <v>16000</v>
      </c>
      <c r="AO34" s="322">
        <v>204</v>
      </c>
      <c r="AP34" s="322">
        <v>63920</v>
      </c>
      <c r="AQ34" s="322">
        <v>477315.4</v>
      </c>
      <c r="AR34" s="17">
        <v>1</v>
      </c>
      <c r="AS34" s="17">
        <v>0</v>
      </c>
      <c r="AT34" s="210"/>
      <c r="AU34" s="210"/>
      <c r="AV34" s="17" t="s">
        <v>227</v>
      </c>
      <c r="AW34" s="215"/>
      <c r="AX34" s="215">
        <v>477315.4</v>
      </c>
      <c r="AY34" s="148">
        <v>381852.32</v>
      </c>
      <c r="AZ34" s="216" t="s">
        <v>441</v>
      </c>
      <c r="BA34" s="148">
        <v>95463.08</v>
      </c>
      <c r="BB34" s="217"/>
      <c r="BC34" s="173"/>
      <c r="BD34" s="172"/>
      <c r="BE34" s="173"/>
      <c r="BF34" s="213"/>
      <c r="BG34" s="218"/>
      <c r="BH34" s="219"/>
      <c r="BI34" s="173"/>
      <c r="BJ34" s="222"/>
      <c r="BK34" s="173"/>
      <c r="BL34" s="222"/>
      <c r="BM34" s="173"/>
      <c r="BN34" s="222"/>
      <c r="BO34" s="173"/>
      <c r="BP34" s="222"/>
      <c r="BQ34" s="173"/>
      <c r="BR34" s="222"/>
      <c r="BS34" s="173"/>
      <c r="BT34" s="222"/>
      <c r="BU34" s="173"/>
      <c r="BV34" s="222"/>
      <c r="BW34" s="171">
        <v>381852.32</v>
      </c>
      <c r="BX34" s="220">
        <v>381852.32</v>
      </c>
      <c r="BY34" s="220">
        <v>381852.32</v>
      </c>
      <c r="BZ34" s="220">
        <v>0</v>
      </c>
      <c r="CA34" s="220">
        <v>381852.32</v>
      </c>
      <c r="CB34" s="221">
        <v>1</v>
      </c>
      <c r="CC34" s="221" t="s">
        <v>421</v>
      </c>
      <c r="CD34" s="220">
        <v>95463.08</v>
      </c>
      <c r="CE34" s="17">
        <v>0</v>
      </c>
      <c r="CF34" s="170"/>
    </row>
    <row r="35" spans="1:84" x14ac:dyDescent="0.25">
      <c r="A35" s="170" t="s">
        <v>43</v>
      </c>
      <c r="B35" s="170" t="s">
        <v>123</v>
      </c>
      <c r="C35" s="170" t="s">
        <v>170</v>
      </c>
      <c r="D35" s="170" t="s">
        <v>675</v>
      </c>
      <c r="E35" s="170" t="s">
        <v>676</v>
      </c>
      <c r="F35" s="170" t="s">
        <v>834</v>
      </c>
      <c r="H35" s="170"/>
      <c r="I35" s="170"/>
      <c r="J35" s="17">
        <v>35</v>
      </c>
      <c r="K35" s="17">
        <v>4725</v>
      </c>
      <c r="L35" s="322">
        <v>75930.75</v>
      </c>
      <c r="M35" s="17">
        <v>7</v>
      </c>
      <c r="N35" s="17">
        <v>847</v>
      </c>
      <c r="O35" s="322">
        <v>17643.009999999998</v>
      </c>
      <c r="P35" s="17">
        <v>4</v>
      </c>
      <c r="Q35" s="17">
        <v>20</v>
      </c>
      <c r="R35" s="322">
        <v>3540</v>
      </c>
      <c r="S35" s="17">
        <v>4</v>
      </c>
      <c r="T35" s="17">
        <v>20</v>
      </c>
      <c r="U35" s="322">
        <v>3540</v>
      </c>
      <c r="V35" s="17">
        <v>0</v>
      </c>
      <c r="W35" s="322">
        <v>0</v>
      </c>
      <c r="X35" s="17">
        <v>0</v>
      </c>
      <c r="Y35" s="322">
        <v>0</v>
      </c>
      <c r="Z35" s="17">
        <v>0</v>
      </c>
      <c r="AA35" s="322">
        <v>0</v>
      </c>
      <c r="AB35" s="17">
        <v>0</v>
      </c>
      <c r="AC35" s="322">
        <v>0</v>
      </c>
      <c r="AD35" s="17">
        <v>0</v>
      </c>
      <c r="AE35" s="322">
        <v>0</v>
      </c>
      <c r="AF35" s="322">
        <v>1</v>
      </c>
      <c r="AG35" s="322">
        <v>8000</v>
      </c>
      <c r="AH35" s="322">
        <v>20</v>
      </c>
      <c r="AI35" s="322">
        <v>8000</v>
      </c>
      <c r="AO35" s="322">
        <v>50</v>
      </c>
      <c r="AP35" s="322">
        <v>20000</v>
      </c>
      <c r="AQ35" s="322">
        <v>128653.75999999999</v>
      </c>
      <c r="AR35" s="17">
        <v>1</v>
      </c>
      <c r="AS35" s="17">
        <v>0</v>
      </c>
      <c r="AT35" s="210"/>
      <c r="AU35" s="210"/>
      <c r="AV35" s="17" t="s">
        <v>227</v>
      </c>
      <c r="AW35" s="215"/>
      <c r="AX35" s="215">
        <v>128653.75999999999</v>
      </c>
      <c r="AY35" s="148">
        <v>102923.01</v>
      </c>
      <c r="AZ35" s="216" t="s">
        <v>441</v>
      </c>
      <c r="BA35" s="148">
        <v>25730.75</v>
      </c>
      <c r="BB35" s="217"/>
      <c r="BC35" s="173"/>
      <c r="BD35" s="172"/>
      <c r="BE35" s="173"/>
      <c r="BF35" s="213"/>
      <c r="BG35" s="173"/>
      <c r="BH35" s="219"/>
      <c r="BI35" s="173"/>
      <c r="BJ35" s="222"/>
      <c r="BK35" s="173"/>
      <c r="BL35" s="222"/>
      <c r="BM35" s="173"/>
      <c r="BN35" s="222"/>
      <c r="BO35" s="173"/>
      <c r="BP35" s="222"/>
      <c r="BQ35" s="173"/>
      <c r="BR35" s="222"/>
      <c r="BS35" s="173"/>
      <c r="BT35" s="222"/>
      <c r="BU35" s="173"/>
      <c r="BV35" s="222"/>
      <c r="BW35" s="171">
        <v>102923.01</v>
      </c>
      <c r="BX35" s="220">
        <v>102923.01</v>
      </c>
      <c r="BY35" s="220">
        <v>102923.01</v>
      </c>
      <c r="BZ35" s="220">
        <v>0</v>
      </c>
      <c r="CA35" s="220">
        <v>102923.01</v>
      </c>
      <c r="CB35" s="221">
        <v>1</v>
      </c>
      <c r="CC35" s="221" t="s">
        <v>421</v>
      </c>
      <c r="CD35" s="220">
        <v>25730.75</v>
      </c>
      <c r="CE35" s="17">
        <v>0</v>
      </c>
      <c r="CF35" s="170"/>
    </row>
    <row r="36" spans="1:84" x14ac:dyDescent="0.25">
      <c r="A36" s="170" t="s">
        <v>44</v>
      </c>
      <c r="B36" s="170" t="s">
        <v>230</v>
      </c>
      <c r="C36" s="170" t="s">
        <v>171</v>
      </c>
      <c r="D36" s="170" t="s">
        <v>677</v>
      </c>
      <c r="E36" s="170" t="s">
        <v>678</v>
      </c>
      <c r="F36" s="170" t="s">
        <v>835</v>
      </c>
      <c r="H36" s="170"/>
      <c r="I36" s="170"/>
      <c r="J36" s="17">
        <v>0</v>
      </c>
      <c r="K36" s="17">
        <v>0</v>
      </c>
      <c r="L36" s="322">
        <v>0</v>
      </c>
      <c r="M36" s="17">
        <v>0</v>
      </c>
      <c r="N36" s="17">
        <v>0</v>
      </c>
      <c r="O36" s="322">
        <v>0</v>
      </c>
      <c r="P36" s="17">
        <v>11</v>
      </c>
      <c r="Q36" s="17">
        <v>55</v>
      </c>
      <c r="R36" s="322">
        <v>9735</v>
      </c>
      <c r="S36" s="17">
        <v>7</v>
      </c>
      <c r="T36" s="17">
        <v>35</v>
      </c>
      <c r="U36" s="322">
        <v>6195</v>
      </c>
      <c r="V36" s="17">
        <v>0</v>
      </c>
      <c r="W36" s="322">
        <v>0</v>
      </c>
      <c r="X36" s="17">
        <v>0</v>
      </c>
      <c r="Y36" s="322">
        <v>0</v>
      </c>
      <c r="Z36" s="17">
        <v>0</v>
      </c>
      <c r="AA36" s="322">
        <v>0</v>
      </c>
      <c r="AB36" s="17">
        <v>0</v>
      </c>
      <c r="AC36" s="322">
        <v>0</v>
      </c>
      <c r="AD36" s="17">
        <v>0</v>
      </c>
      <c r="AE36" s="322">
        <v>0</v>
      </c>
      <c r="AF36" s="322">
        <v>1</v>
      </c>
      <c r="AG36" s="322">
        <v>8000</v>
      </c>
      <c r="AH36" s="322">
        <v>25</v>
      </c>
      <c r="AI36" s="322">
        <v>8000</v>
      </c>
      <c r="AO36" s="322">
        <v>18</v>
      </c>
      <c r="AP36" s="322">
        <v>7200</v>
      </c>
      <c r="AQ36" s="322">
        <v>31130</v>
      </c>
      <c r="AR36" s="17">
        <v>1</v>
      </c>
      <c r="AS36" s="17">
        <v>0</v>
      </c>
      <c r="AT36" s="210"/>
      <c r="AU36" s="210"/>
      <c r="AV36" s="17" t="s">
        <v>227</v>
      </c>
      <c r="AW36" s="215"/>
      <c r="AX36" s="215">
        <v>31130</v>
      </c>
      <c r="AY36" s="148">
        <v>24904</v>
      </c>
      <c r="AZ36" s="216" t="s">
        <v>441</v>
      </c>
      <c r="BA36" s="148">
        <v>6226</v>
      </c>
      <c r="BB36" s="217"/>
      <c r="BC36" s="173"/>
      <c r="BD36" s="172"/>
      <c r="BE36" s="173"/>
      <c r="BF36" s="213"/>
      <c r="BG36" s="173"/>
      <c r="BH36" s="219"/>
      <c r="BI36" s="173"/>
      <c r="BJ36" s="222"/>
      <c r="BK36" s="173"/>
      <c r="BL36" s="222"/>
      <c r="BM36" s="173"/>
      <c r="BN36" s="222"/>
      <c r="BO36" s="173"/>
      <c r="BP36" s="222"/>
      <c r="BQ36" s="173"/>
      <c r="BR36" s="222"/>
      <c r="BS36" s="173"/>
      <c r="BT36" s="222"/>
      <c r="BU36" s="173"/>
      <c r="BV36" s="222"/>
      <c r="BW36" s="171">
        <v>24904</v>
      </c>
      <c r="BX36" s="220">
        <v>24904</v>
      </c>
      <c r="BY36" s="220">
        <v>24904</v>
      </c>
      <c r="BZ36" s="220">
        <v>0</v>
      </c>
      <c r="CA36" s="220">
        <v>24904</v>
      </c>
      <c r="CB36" s="221">
        <v>1</v>
      </c>
      <c r="CC36" s="221" t="s">
        <v>421</v>
      </c>
      <c r="CD36" s="220">
        <v>6226</v>
      </c>
      <c r="CE36" s="17">
        <v>0</v>
      </c>
      <c r="CF36" s="170"/>
    </row>
    <row r="37" spans="1:84" x14ac:dyDescent="0.25">
      <c r="A37" s="170" t="s">
        <v>45</v>
      </c>
      <c r="B37" s="170" t="s">
        <v>124</v>
      </c>
      <c r="C37" s="170" t="s">
        <v>172</v>
      </c>
      <c r="D37" s="170" t="s">
        <v>679</v>
      </c>
      <c r="E37" s="170" t="s">
        <v>680</v>
      </c>
      <c r="F37" s="170" t="s">
        <v>836</v>
      </c>
      <c r="H37" s="170"/>
      <c r="I37" s="170"/>
      <c r="J37" s="17">
        <v>22</v>
      </c>
      <c r="K37" s="17">
        <v>2970</v>
      </c>
      <c r="L37" s="322">
        <v>47727.9</v>
      </c>
      <c r="M37" s="17">
        <v>6</v>
      </c>
      <c r="N37" s="17">
        <v>726</v>
      </c>
      <c r="O37" s="322">
        <v>15122.58</v>
      </c>
      <c r="P37" s="17">
        <v>21</v>
      </c>
      <c r="Q37" s="17">
        <v>105</v>
      </c>
      <c r="R37" s="322">
        <v>18585</v>
      </c>
      <c r="S37" s="17">
        <v>14</v>
      </c>
      <c r="T37" s="17">
        <v>70</v>
      </c>
      <c r="U37" s="322">
        <v>12390</v>
      </c>
      <c r="V37" s="17">
        <v>0</v>
      </c>
      <c r="W37" s="322">
        <v>0</v>
      </c>
      <c r="X37" s="17">
        <v>0</v>
      </c>
      <c r="Y37" s="322">
        <v>0</v>
      </c>
      <c r="Z37" s="17">
        <v>0</v>
      </c>
      <c r="AA37" s="322">
        <v>0</v>
      </c>
      <c r="AB37" s="17">
        <v>0</v>
      </c>
      <c r="AC37" s="322">
        <v>0</v>
      </c>
      <c r="AD37" s="17">
        <v>0</v>
      </c>
      <c r="AE37" s="322">
        <v>0</v>
      </c>
      <c r="AF37" s="322">
        <v>1</v>
      </c>
      <c r="AG37" s="322">
        <v>8000</v>
      </c>
      <c r="AH37" s="322">
        <v>20</v>
      </c>
      <c r="AI37" s="322">
        <v>8000</v>
      </c>
      <c r="AO37" s="322">
        <v>63</v>
      </c>
      <c r="AP37" s="322">
        <v>25200</v>
      </c>
      <c r="AQ37" s="322">
        <v>127025.48</v>
      </c>
      <c r="AR37" s="17">
        <v>1</v>
      </c>
      <c r="AS37" s="17">
        <v>0</v>
      </c>
      <c r="AT37" s="210"/>
      <c r="AU37" s="210"/>
      <c r="AV37" s="17" t="s">
        <v>227</v>
      </c>
      <c r="AW37" s="215"/>
      <c r="AX37" s="215">
        <v>127025.48000000001</v>
      </c>
      <c r="AY37" s="148">
        <v>101620.38</v>
      </c>
      <c r="AZ37" s="216" t="s">
        <v>441</v>
      </c>
      <c r="BA37" s="148">
        <v>25405.1</v>
      </c>
      <c r="BB37" s="217"/>
      <c r="BC37" s="218"/>
      <c r="BD37" s="172"/>
      <c r="BE37" s="173"/>
      <c r="BF37" s="213"/>
      <c r="BG37" s="173"/>
      <c r="BH37" s="219"/>
      <c r="BI37" s="173"/>
      <c r="BJ37" s="222"/>
      <c r="BK37" s="173"/>
      <c r="BL37" s="222"/>
      <c r="BM37" s="173"/>
      <c r="BN37" s="222"/>
      <c r="BO37" s="173"/>
      <c r="BP37" s="222"/>
      <c r="BQ37" s="173"/>
      <c r="BR37" s="222"/>
      <c r="BS37" s="173"/>
      <c r="BT37" s="222"/>
      <c r="BU37" s="173"/>
      <c r="BV37" s="222"/>
      <c r="BW37" s="171">
        <v>101620.38</v>
      </c>
      <c r="BX37" s="220">
        <v>101620.38</v>
      </c>
      <c r="BY37" s="220">
        <v>101620.38</v>
      </c>
      <c r="BZ37" s="220">
        <v>0</v>
      </c>
      <c r="CA37" s="220">
        <v>101620.38</v>
      </c>
      <c r="CB37" s="221">
        <v>1</v>
      </c>
      <c r="CC37" s="221" t="s">
        <v>421</v>
      </c>
      <c r="CD37" s="220">
        <v>25405.1</v>
      </c>
      <c r="CE37" s="17">
        <v>0</v>
      </c>
      <c r="CF37" s="170"/>
    </row>
    <row r="38" spans="1:84" x14ac:dyDescent="0.25">
      <c r="A38" s="170" t="s">
        <v>46</v>
      </c>
      <c r="B38" s="170" t="s">
        <v>215</v>
      </c>
      <c r="C38" s="170" t="s">
        <v>173</v>
      </c>
      <c r="D38" s="170" t="s">
        <v>681</v>
      </c>
      <c r="E38" s="170" t="s">
        <v>682</v>
      </c>
      <c r="F38" s="170" t="s">
        <v>837</v>
      </c>
      <c r="H38" s="170"/>
      <c r="I38" s="170"/>
      <c r="J38" s="17">
        <v>6</v>
      </c>
      <c r="K38" s="17">
        <v>810</v>
      </c>
      <c r="L38" s="322">
        <v>13016.7</v>
      </c>
      <c r="M38" s="17">
        <v>2</v>
      </c>
      <c r="N38" s="17">
        <v>242</v>
      </c>
      <c r="O38" s="322">
        <v>5040.8599999999997</v>
      </c>
      <c r="P38" s="17">
        <v>3</v>
      </c>
      <c r="Q38" s="17">
        <v>15</v>
      </c>
      <c r="R38" s="322">
        <v>2655</v>
      </c>
      <c r="S38" s="17">
        <v>10</v>
      </c>
      <c r="T38" s="17">
        <v>50</v>
      </c>
      <c r="U38" s="322">
        <v>8850</v>
      </c>
      <c r="W38" s="322"/>
      <c r="Y38" s="322"/>
      <c r="AA38" s="322"/>
      <c r="AC38" s="322"/>
      <c r="AE38" s="322"/>
      <c r="AF38" s="322"/>
      <c r="AG38" s="322"/>
      <c r="AH38" s="322"/>
      <c r="AI38" s="322"/>
      <c r="AO38" s="322">
        <v>21</v>
      </c>
      <c r="AP38" s="322">
        <v>8400</v>
      </c>
      <c r="AQ38" s="322">
        <v>37962.559999999998</v>
      </c>
      <c r="AR38" s="17">
        <v>1</v>
      </c>
      <c r="AS38" s="17">
        <v>0</v>
      </c>
      <c r="AT38" s="210"/>
      <c r="AU38" s="210"/>
      <c r="AV38" s="17" t="s">
        <v>227</v>
      </c>
      <c r="AW38" s="215"/>
      <c r="AX38" s="215">
        <v>37962.559999999998</v>
      </c>
      <c r="AY38" s="148">
        <v>30370.05</v>
      </c>
      <c r="AZ38" s="216" t="s">
        <v>441</v>
      </c>
      <c r="BA38" s="148">
        <v>7592.51</v>
      </c>
      <c r="BB38" s="217"/>
      <c r="BC38" s="218"/>
      <c r="BD38" s="172"/>
      <c r="BE38" s="173"/>
      <c r="BF38" s="213"/>
      <c r="BG38" s="173"/>
      <c r="BH38" s="219"/>
      <c r="BI38" s="173"/>
      <c r="BJ38" s="222"/>
      <c r="BK38" s="173"/>
      <c r="BL38" s="222"/>
      <c r="BM38" s="173"/>
      <c r="BN38" s="222"/>
      <c r="BO38" s="173"/>
      <c r="BP38" s="222"/>
      <c r="BQ38" s="173"/>
      <c r="BR38" s="222"/>
      <c r="BS38" s="173"/>
      <c r="BT38" s="222"/>
      <c r="BU38" s="173"/>
      <c r="BV38" s="222"/>
      <c r="BW38" s="171">
        <v>30370.05</v>
      </c>
      <c r="BX38" s="220">
        <v>30370.05</v>
      </c>
      <c r="BY38" s="220">
        <v>30370.05</v>
      </c>
      <c r="BZ38" s="220">
        <v>0</v>
      </c>
      <c r="CA38" s="220">
        <v>30370.05</v>
      </c>
      <c r="CB38" s="221">
        <v>1</v>
      </c>
      <c r="CC38" s="221" t="s">
        <v>421</v>
      </c>
      <c r="CD38" s="220">
        <v>7592.51</v>
      </c>
      <c r="CE38" s="17">
        <v>0</v>
      </c>
      <c r="CF38" s="170"/>
    </row>
    <row r="39" spans="1:84" x14ac:dyDescent="0.25">
      <c r="A39" s="170" t="s">
        <v>47</v>
      </c>
      <c r="B39" s="170" t="s">
        <v>125</v>
      </c>
      <c r="C39" s="170" t="s">
        <v>174</v>
      </c>
      <c r="D39" s="170" t="s">
        <v>683</v>
      </c>
      <c r="E39" s="170" t="s">
        <v>684</v>
      </c>
      <c r="F39" s="170" t="s">
        <v>838</v>
      </c>
      <c r="H39" s="170"/>
      <c r="I39" s="170"/>
      <c r="J39" s="17">
        <v>15</v>
      </c>
      <c r="K39" s="17">
        <v>2025</v>
      </c>
      <c r="L39" s="322">
        <v>32541.75</v>
      </c>
      <c r="M39" s="17">
        <v>13</v>
      </c>
      <c r="N39" s="17">
        <v>1573</v>
      </c>
      <c r="O39" s="322">
        <v>32765.59</v>
      </c>
      <c r="P39" s="17">
        <v>12</v>
      </c>
      <c r="Q39" s="17">
        <v>60</v>
      </c>
      <c r="R39" s="322">
        <v>10620</v>
      </c>
      <c r="S39" s="17">
        <v>7</v>
      </c>
      <c r="T39" s="17">
        <v>35</v>
      </c>
      <c r="U39" s="322">
        <v>6195</v>
      </c>
      <c r="W39" s="322"/>
      <c r="Y39" s="322"/>
      <c r="AA39" s="322"/>
      <c r="AC39" s="322"/>
      <c r="AE39" s="322"/>
      <c r="AF39" s="322"/>
      <c r="AG39" s="322"/>
      <c r="AH39" s="322"/>
      <c r="AI39" s="322"/>
      <c r="AJ39" s="17">
        <v>1</v>
      </c>
      <c r="AK39" s="17">
        <v>200</v>
      </c>
      <c r="AL39" s="17">
        <v>1</v>
      </c>
      <c r="AM39" s="17">
        <v>100</v>
      </c>
      <c r="AO39" s="322">
        <v>47</v>
      </c>
      <c r="AP39" s="322">
        <v>18800</v>
      </c>
      <c r="AQ39" s="322">
        <v>101222.34</v>
      </c>
      <c r="AR39" s="17">
        <v>2</v>
      </c>
      <c r="AS39" s="17">
        <v>0</v>
      </c>
      <c r="AT39" s="210"/>
      <c r="AU39" s="210"/>
      <c r="AV39" s="17" t="s">
        <v>227</v>
      </c>
      <c r="AW39" s="215"/>
      <c r="AX39" s="215">
        <v>101222.34</v>
      </c>
      <c r="AY39" s="148">
        <v>80737.87</v>
      </c>
      <c r="AZ39" s="216" t="s">
        <v>441</v>
      </c>
      <c r="BA39" s="148">
        <v>20184.47</v>
      </c>
      <c r="BB39" s="217"/>
      <c r="BC39" s="148">
        <v>300</v>
      </c>
      <c r="BD39" s="217"/>
      <c r="BE39" s="173"/>
      <c r="BF39" s="213"/>
      <c r="BG39" s="173"/>
      <c r="BH39" s="219"/>
      <c r="BI39" s="173"/>
      <c r="BJ39" s="222"/>
      <c r="BK39" s="173"/>
      <c r="BL39" s="222"/>
      <c r="BM39" s="173"/>
      <c r="BN39" s="222"/>
      <c r="BO39" s="173"/>
      <c r="BP39" s="222"/>
      <c r="BQ39" s="173"/>
      <c r="BR39" s="222"/>
      <c r="BS39" s="173"/>
      <c r="BT39" s="222"/>
      <c r="BU39" s="173"/>
      <c r="BV39" s="222"/>
      <c r="BW39" s="171">
        <v>80737.87</v>
      </c>
      <c r="BX39" s="220">
        <v>80737.87</v>
      </c>
      <c r="BY39" s="220">
        <v>80737.87</v>
      </c>
      <c r="BZ39" s="220">
        <v>0</v>
      </c>
      <c r="CA39" s="220">
        <v>80737.87</v>
      </c>
      <c r="CB39" s="221">
        <v>1</v>
      </c>
      <c r="CC39" s="221" t="s">
        <v>421</v>
      </c>
      <c r="CD39" s="220">
        <v>20184.47</v>
      </c>
      <c r="CE39" s="17">
        <v>0</v>
      </c>
      <c r="CF39" s="170"/>
    </row>
    <row r="40" spans="1:84" x14ac:dyDescent="0.25">
      <c r="A40" s="170" t="s">
        <v>48</v>
      </c>
      <c r="B40" s="170" t="s">
        <v>9</v>
      </c>
      <c r="C40" s="170" t="s">
        <v>175</v>
      </c>
      <c r="D40" s="170" t="s">
        <v>685</v>
      </c>
      <c r="E40" s="170" t="s">
        <v>686</v>
      </c>
      <c r="F40" s="170" t="s">
        <v>839</v>
      </c>
      <c r="H40" s="170"/>
      <c r="I40" s="170"/>
      <c r="J40" s="17">
        <v>0</v>
      </c>
      <c r="K40" s="17">
        <v>0</v>
      </c>
      <c r="L40" s="322">
        <v>0</v>
      </c>
      <c r="M40" s="17">
        <v>39</v>
      </c>
      <c r="N40" s="17">
        <v>4719</v>
      </c>
      <c r="O40" s="322">
        <v>98296.77</v>
      </c>
      <c r="P40" s="17">
        <v>4</v>
      </c>
      <c r="Q40" s="17">
        <v>20</v>
      </c>
      <c r="R40" s="322">
        <v>3540</v>
      </c>
      <c r="S40" s="17">
        <v>13</v>
      </c>
      <c r="T40" s="17">
        <v>65</v>
      </c>
      <c r="U40" s="322">
        <v>11505</v>
      </c>
      <c r="V40" s="17">
        <v>0</v>
      </c>
      <c r="W40" s="322">
        <v>0</v>
      </c>
      <c r="X40" s="17">
        <v>0</v>
      </c>
      <c r="Y40" s="322">
        <v>0</v>
      </c>
      <c r="Z40" s="17">
        <v>0</v>
      </c>
      <c r="AA40" s="322">
        <v>0</v>
      </c>
      <c r="AB40" s="17">
        <v>0</v>
      </c>
      <c r="AC40" s="322">
        <v>0</v>
      </c>
      <c r="AD40" s="17">
        <v>0</v>
      </c>
      <c r="AE40" s="322">
        <v>0</v>
      </c>
      <c r="AF40" s="322">
        <v>1</v>
      </c>
      <c r="AG40" s="322">
        <v>8000</v>
      </c>
      <c r="AH40" s="322">
        <v>20</v>
      </c>
      <c r="AI40" s="322">
        <v>8000</v>
      </c>
      <c r="AJ40" s="17">
        <v>1</v>
      </c>
      <c r="AK40" s="17">
        <v>2917.86</v>
      </c>
      <c r="AL40" s="17">
        <v>1</v>
      </c>
      <c r="AM40" s="17">
        <v>100</v>
      </c>
      <c r="AN40" s="17">
        <v>0</v>
      </c>
      <c r="AO40" s="322">
        <v>56</v>
      </c>
      <c r="AP40" s="322">
        <v>22400</v>
      </c>
      <c r="AQ40" s="322">
        <v>146759.62999999998</v>
      </c>
      <c r="AR40" s="17">
        <v>2</v>
      </c>
      <c r="AS40" s="17">
        <v>0</v>
      </c>
      <c r="AT40" s="210"/>
      <c r="AU40" s="210"/>
      <c r="AV40" s="17" t="s">
        <v>227</v>
      </c>
      <c r="AW40" s="215"/>
      <c r="AX40" s="215">
        <v>146759.63</v>
      </c>
      <c r="AY40" s="148">
        <v>114993.42</v>
      </c>
      <c r="AZ40" s="216" t="s">
        <v>441</v>
      </c>
      <c r="BA40" s="148">
        <v>3017.86</v>
      </c>
      <c r="BB40" s="217" t="s">
        <v>886</v>
      </c>
      <c r="BC40" s="148">
        <v>28748.35</v>
      </c>
      <c r="BD40" s="217"/>
      <c r="BE40" s="173"/>
      <c r="BF40" s="213"/>
      <c r="BG40" s="173"/>
      <c r="BH40" s="219"/>
      <c r="BI40" s="173"/>
      <c r="BJ40" s="222"/>
      <c r="BK40" s="173"/>
      <c r="BL40" s="222"/>
      <c r="BM40" s="173"/>
      <c r="BN40" s="222"/>
      <c r="BO40" s="173"/>
      <c r="BP40" s="222"/>
      <c r="BQ40" s="173"/>
      <c r="BR40" s="222"/>
      <c r="BS40" s="173"/>
      <c r="BT40" s="222"/>
      <c r="BU40" s="173"/>
      <c r="BV40" s="222"/>
      <c r="BW40" s="171">
        <v>118011.28</v>
      </c>
      <c r="BX40" s="220">
        <v>118011.28</v>
      </c>
      <c r="BY40" s="220">
        <v>118011.28</v>
      </c>
      <c r="BZ40" s="220">
        <v>3017.86</v>
      </c>
      <c r="CA40" s="220">
        <v>114993.42</v>
      </c>
      <c r="CB40" s="221">
        <v>2</v>
      </c>
      <c r="CC40" s="221" t="s">
        <v>887</v>
      </c>
      <c r="CD40" s="220">
        <v>28748.35</v>
      </c>
      <c r="CE40" s="17">
        <v>0</v>
      </c>
      <c r="CF40" s="170"/>
    </row>
    <row r="41" spans="1:84" x14ac:dyDescent="0.25">
      <c r="A41" s="170" t="s">
        <v>49</v>
      </c>
      <c r="B41" s="170" t="s">
        <v>99</v>
      </c>
      <c r="C41" s="170" t="s">
        <v>176</v>
      </c>
      <c r="D41" s="170" t="s">
        <v>687</v>
      </c>
      <c r="E41" s="170" t="s">
        <v>688</v>
      </c>
      <c r="F41" s="170" t="s">
        <v>840</v>
      </c>
      <c r="H41" s="170"/>
      <c r="I41" s="170"/>
      <c r="J41" s="17">
        <v>175</v>
      </c>
      <c r="K41" s="17">
        <v>23625</v>
      </c>
      <c r="L41" s="322">
        <v>379653.75</v>
      </c>
      <c r="M41" s="17">
        <v>26</v>
      </c>
      <c r="N41" s="17">
        <v>3146</v>
      </c>
      <c r="O41" s="322">
        <v>65531.18</v>
      </c>
      <c r="P41" s="17">
        <v>17</v>
      </c>
      <c r="Q41" s="17">
        <v>85</v>
      </c>
      <c r="R41" s="322">
        <v>15045</v>
      </c>
      <c r="S41" s="17">
        <v>11</v>
      </c>
      <c r="T41" s="17">
        <v>55</v>
      </c>
      <c r="U41" s="322">
        <v>9735</v>
      </c>
      <c r="V41" s="17">
        <v>0</v>
      </c>
      <c r="W41" s="322">
        <v>0</v>
      </c>
      <c r="X41" s="17">
        <v>0</v>
      </c>
      <c r="Y41" s="322">
        <v>0</v>
      </c>
      <c r="Z41" s="17">
        <v>0</v>
      </c>
      <c r="AA41" s="322">
        <v>0</v>
      </c>
      <c r="AB41" s="17">
        <v>0</v>
      </c>
      <c r="AC41" s="322">
        <v>0</v>
      </c>
      <c r="AD41" s="17">
        <v>0</v>
      </c>
      <c r="AE41" s="322">
        <v>0</v>
      </c>
      <c r="AF41" s="322">
        <v>6</v>
      </c>
      <c r="AG41" s="322">
        <v>48000</v>
      </c>
      <c r="AH41" s="322">
        <v>120</v>
      </c>
      <c r="AI41" s="322">
        <v>48000</v>
      </c>
      <c r="AO41" s="322">
        <v>229</v>
      </c>
      <c r="AP41" s="322">
        <v>69670</v>
      </c>
      <c r="AQ41" s="322">
        <v>587634.93000000005</v>
      </c>
      <c r="AR41" s="17">
        <v>1</v>
      </c>
      <c r="AS41" s="17">
        <v>0</v>
      </c>
      <c r="AT41" s="210"/>
      <c r="AU41" s="210"/>
      <c r="AV41" s="17" t="s">
        <v>227</v>
      </c>
      <c r="AW41" s="215"/>
      <c r="AX41" s="215">
        <v>587634.93000000005</v>
      </c>
      <c r="AY41" s="148">
        <v>470107.94</v>
      </c>
      <c r="AZ41" s="216" t="s">
        <v>441</v>
      </c>
      <c r="BA41" s="148">
        <v>117526.99</v>
      </c>
      <c r="BB41" s="217"/>
      <c r="BC41" s="173"/>
      <c r="BD41" s="172"/>
      <c r="BE41" s="218"/>
      <c r="BF41" s="172"/>
      <c r="BG41" s="173"/>
      <c r="BH41" s="222"/>
      <c r="BI41" s="173"/>
      <c r="BJ41" s="222"/>
      <c r="BK41" s="173"/>
      <c r="BL41" s="222"/>
      <c r="BM41" s="173"/>
      <c r="BN41" s="222"/>
      <c r="BO41" s="173"/>
      <c r="BP41" s="222"/>
      <c r="BQ41" s="173"/>
      <c r="BR41" s="222"/>
      <c r="BS41" s="173"/>
      <c r="BT41" s="222"/>
      <c r="BU41" s="173"/>
      <c r="BV41" s="222"/>
      <c r="BW41" s="171">
        <v>470107.94</v>
      </c>
      <c r="BX41" s="220">
        <v>470107.94</v>
      </c>
      <c r="BY41" s="220">
        <v>470107.94</v>
      </c>
      <c r="BZ41" s="220">
        <v>0</v>
      </c>
      <c r="CA41" s="220">
        <v>470107.94</v>
      </c>
      <c r="CB41" s="221">
        <v>1</v>
      </c>
      <c r="CC41" s="221" t="s">
        <v>421</v>
      </c>
      <c r="CD41" s="220">
        <v>117526.99</v>
      </c>
      <c r="CE41" s="17">
        <v>0</v>
      </c>
      <c r="CF41" s="170"/>
    </row>
    <row r="42" spans="1:84" x14ac:dyDescent="0.25">
      <c r="A42" s="170" t="s">
        <v>50</v>
      </c>
      <c r="B42" s="170" t="s">
        <v>116</v>
      </c>
      <c r="C42" s="170" t="s">
        <v>177</v>
      </c>
      <c r="D42" s="170" t="s">
        <v>689</v>
      </c>
      <c r="E42" s="170" t="s">
        <v>690</v>
      </c>
      <c r="F42" s="170" t="s">
        <v>841</v>
      </c>
      <c r="H42" s="170"/>
      <c r="I42" s="170"/>
      <c r="J42" s="17">
        <v>26</v>
      </c>
      <c r="K42" s="17">
        <v>3510</v>
      </c>
      <c r="L42" s="322">
        <v>56405.7</v>
      </c>
      <c r="M42" s="17">
        <v>3</v>
      </c>
      <c r="N42" s="17">
        <v>363</v>
      </c>
      <c r="O42" s="322">
        <v>7561.29</v>
      </c>
      <c r="P42" s="17">
        <v>18</v>
      </c>
      <c r="Q42" s="17">
        <v>90</v>
      </c>
      <c r="R42" s="322">
        <v>15930</v>
      </c>
      <c r="S42" s="17">
        <v>9</v>
      </c>
      <c r="T42" s="17">
        <v>45</v>
      </c>
      <c r="U42" s="322">
        <v>7965</v>
      </c>
      <c r="W42" s="322"/>
      <c r="Y42" s="322"/>
      <c r="AA42" s="322"/>
      <c r="AC42" s="322"/>
      <c r="AE42" s="322"/>
      <c r="AF42" s="322"/>
      <c r="AG42" s="322"/>
      <c r="AH42" s="322"/>
      <c r="AI42" s="322"/>
      <c r="AO42" s="322">
        <v>56</v>
      </c>
      <c r="AP42" s="322">
        <v>22400</v>
      </c>
      <c r="AQ42" s="322">
        <v>110261.99</v>
      </c>
      <c r="AR42" s="17">
        <v>1</v>
      </c>
      <c r="AS42" s="17">
        <v>0</v>
      </c>
      <c r="AT42" s="210"/>
      <c r="AU42" s="210"/>
      <c r="AV42" s="17" t="s">
        <v>227</v>
      </c>
      <c r="AW42" s="215"/>
      <c r="AX42" s="215">
        <v>110261.98999999999</v>
      </c>
      <c r="AY42" s="148">
        <v>88209.59</v>
      </c>
      <c r="AZ42" s="216" t="s">
        <v>441</v>
      </c>
      <c r="BA42" s="148">
        <v>22052.400000000001</v>
      </c>
      <c r="BB42" s="217"/>
      <c r="BC42" s="226"/>
      <c r="BD42" s="172"/>
      <c r="BE42" s="173"/>
      <c r="BF42" s="213"/>
      <c r="BG42" s="173"/>
      <c r="BH42" s="219"/>
      <c r="BI42" s="173"/>
      <c r="BJ42" s="222"/>
      <c r="BK42" s="173"/>
      <c r="BL42" s="222"/>
      <c r="BM42" s="173"/>
      <c r="BN42" s="222"/>
      <c r="BO42" s="173"/>
      <c r="BP42" s="222"/>
      <c r="BQ42" s="173"/>
      <c r="BR42" s="222"/>
      <c r="BS42" s="173"/>
      <c r="BT42" s="222"/>
      <c r="BU42" s="173"/>
      <c r="BV42" s="222"/>
      <c r="BW42" s="171">
        <v>88209.59</v>
      </c>
      <c r="BX42" s="220">
        <v>88209.59</v>
      </c>
      <c r="BY42" s="220">
        <v>88209.59</v>
      </c>
      <c r="BZ42" s="220">
        <v>0</v>
      </c>
      <c r="CA42" s="220">
        <v>88209.59</v>
      </c>
      <c r="CB42" s="221">
        <v>1</v>
      </c>
      <c r="CC42" s="221" t="s">
        <v>421</v>
      </c>
      <c r="CD42" s="220">
        <v>22052.400000000001</v>
      </c>
      <c r="CE42" s="17">
        <v>0</v>
      </c>
      <c r="CF42" s="170"/>
    </row>
    <row r="43" spans="1:84" x14ac:dyDescent="0.25">
      <c r="A43" s="170" t="s">
        <v>393</v>
      </c>
      <c r="B43" s="170" t="s">
        <v>231</v>
      </c>
      <c r="C43" s="170" t="s">
        <v>178</v>
      </c>
      <c r="D43" s="170" t="s">
        <v>691</v>
      </c>
      <c r="E43" s="170" t="s">
        <v>692</v>
      </c>
      <c r="F43" s="170" t="s">
        <v>842</v>
      </c>
      <c r="H43" s="170"/>
      <c r="I43" s="170"/>
      <c r="J43" s="17">
        <v>0</v>
      </c>
      <c r="K43" s="17">
        <v>0</v>
      </c>
      <c r="L43" s="322">
        <v>0</v>
      </c>
      <c r="M43" s="17">
        <v>0</v>
      </c>
      <c r="N43" s="17">
        <v>0</v>
      </c>
      <c r="O43" s="322">
        <v>0</v>
      </c>
      <c r="P43" s="17">
        <v>4</v>
      </c>
      <c r="Q43" s="17">
        <v>20</v>
      </c>
      <c r="R43" s="322">
        <v>3540</v>
      </c>
      <c r="S43" s="17">
        <v>22</v>
      </c>
      <c r="T43" s="17">
        <v>110</v>
      </c>
      <c r="U43" s="322">
        <v>19470</v>
      </c>
      <c r="V43" s="17">
        <v>0</v>
      </c>
      <c r="W43" s="322">
        <v>0</v>
      </c>
      <c r="X43" s="17">
        <v>0</v>
      </c>
      <c r="Y43" s="322">
        <v>0</v>
      </c>
      <c r="Z43" s="17">
        <v>0</v>
      </c>
      <c r="AA43" s="322">
        <v>0</v>
      </c>
      <c r="AB43" s="17">
        <v>0</v>
      </c>
      <c r="AC43" s="322">
        <v>0</v>
      </c>
      <c r="AD43" s="17">
        <v>0</v>
      </c>
      <c r="AE43" s="322">
        <v>0</v>
      </c>
      <c r="AF43" s="322">
        <v>1</v>
      </c>
      <c r="AG43" s="322">
        <v>8000</v>
      </c>
      <c r="AH43" s="322">
        <v>20</v>
      </c>
      <c r="AI43" s="322">
        <v>8000</v>
      </c>
      <c r="AO43" s="322">
        <v>26</v>
      </c>
      <c r="AP43" s="322">
        <v>10400</v>
      </c>
      <c r="AQ43" s="322">
        <v>41410</v>
      </c>
      <c r="AR43" s="17">
        <v>1</v>
      </c>
      <c r="AS43" s="17">
        <v>0</v>
      </c>
      <c r="AT43" s="210"/>
      <c r="AU43" s="210"/>
      <c r="AV43" s="17" t="s">
        <v>227</v>
      </c>
      <c r="AW43" s="215"/>
      <c r="AX43" s="215">
        <v>41410</v>
      </c>
      <c r="AY43" s="148">
        <v>33128</v>
      </c>
      <c r="AZ43" s="216" t="s">
        <v>441</v>
      </c>
      <c r="BA43" s="148">
        <v>8282</v>
      </c>
      <c r="BB43" s="217"/>
      <c r="BC43" s="218"/>
      <c r="BD43" s="172"/>
      <c r="BE43" s="173"/>
      <c r="BF43" s="213"/>
      <c r="BG43" s="173"/>
      <c r="BH43" s="219"/>
      <c r="BI43" s="173"/>
      <c r="BJ43" s="222"/>
      <c r="BK43" s="173"/>
      <c r="BL43" s="222"/>
      <c r="BM43" s="173"/>
      <c r="BN43" s="222"/>
      <c r="BO43" s="173"/>
      <c r="BP43" s="222"/>
      <c r="BQ43" s="173"/>
      <c r="BR43" s="222"/>
      <c r="BS43" s="173"/>
      <c r="BT43" s="222"/>
      <c r="BU43" s="173"/>
      <c r="BV43" s="222"/>
      <c r="BW43" s="171">
        <v>33128</v>
      </c>
      <c r="BX43" s="220">
        <v>33128</v>
      </c>
      <c r="BY43" s="220">
        <v>33128</v>
      </c>
      <c r="BZ43" s="220">
        <v>0</v>
      </c>
      <c r="CA43" s="220">
        <v>33128</v>
      </c>
      <c r="CB43" s="221">
        <v>1</v>
      </c>
      <c r="CC43" s="221" t="s">
        <v>421</v>
      </c>
      <c r="CD43" s="220">
        <v>8282</v>
      </c>
      <c r="CE43" s="17">
        <v>0</v>
      </c>
      <c r="CF43" s="170"/>
    </row>
    <row r="44" spans="1:84" x14ac:dyDescent="0.25">
      <c r="A44" s="170" t="s">
        <v>51</v>
      </c>
      <c r="B44" s="170" t="s">
        <v>4</v>
      </c>
      <c r="C44" s="170" t="s">
        <v>179</v>
      </c>
      <c r="D44" s="170" t="s">
        <v>693</v>
      </c>
      <c r="E44" s="170" t="s">
        <v>694</v>
      </c>
      <c r="F44" s="170" t="s">
        <v>843</v>
      </c>
      <c r="H44" s="170"/>
      <c r="I44" s="170"/>
      <c r="J44" s="17">
        <v>108</v>
      </c>
      <c r="K44" s="17">
        <v>14580</v>
      </c>
      <c r="L44" s="322">
        <v>234300.6</v>
      </c>
      <c r="M44" s="17">
        <v>62</v>
      </c>
      <c r="N44" s="17">
        <v>7502</v>
      </c>
      <c r="O44" s="322">
        <v>156266.66</v>
      </c>
      <c r="P44" s="17">
        <v>15</v>
      </c>
      <c r="Q44" s="17">
        <v>75</v>
      </c>
      <c r="R44" s="322">
        <v>13275</v>
      </c>
      <c r="S44" s="17">
        <v>21</v>
      </c>
      <c r="T44" s="17">
        <v>105</v>
      </c>
      <c r="U44" s="322">
        <v>18585</v>
      </c>
      <c r="V44" s="17">
        <v>0</v>
      </c>
      <c r="W44" s="322">
        <v>0</v>
      </c>
      <c r="X44" s="17">
        <v>0</v>
      </c>
      <c r="Y44" s="322">
        <v>0</v>
      </c>
      <c r="Z44" s="17">
        <v>0</v>
      </c>
      <c r="AA44" s="322">
        <v>0</v>
      </c>
      <c r="AB44" s="17">
        <v>0</v>
      </c>
      <c r="AC44" s="322">
        <v>0</v>
      </c>
      <c r="AD44" s="17">
        <v>0</v>
      </c>
      <c r="AE44" s="322">
        <v>0</v>
      </c>
      <c r="AF44" s="322">
        <v>2</v>
      </c>
      <c r="AG44" s="322">
        <v>16000</v>
      </c>
      <c r="AH44" s="322">
        <v>40</v>
      </c>
      <c r="AI44" s="322">
        <v>16000</v>
      </c>
      <c r="AO44" s="322">
        <v>206</v>
      </c>
      <c r="AP44" s="322">
        <v>64380</v>
      </c>
      <c r="AQ44" s="322">
        <v>502807.26</v>
      </c>
      <c r="AR44" s="17">
        <v>1</v>
      </c>
      <c r="AS44" s="17">
        <v>0</v>
      </c>
      <c r="AT44" s="210"/>
      <c r="AU44" s="210"/>
      <c r="AV44" s="17" t="s">
        <v>227</v>
      </c>
      <c r="AW44" s="215"/>
      <c r="AX44" s="215">
        <v>502807.26</v>
      </c>
      <c r="AY44" s="148">
        <v>402245.81</v>
      </c>
      <c r="AZ44" s="216" t="s">
        <v>441</v>
      </c>
      <c r="BA44" s="148">
        <v>100561.45</v>
      </c>
      <c r="BB44" s="217"/>
      <c r="BC44" s="173"/>
      <c r="BD44" s="172"/>
      <c r="BE44" s="173"/>
      <c r="BF44" s="213"/>
      <c r="BG44" s="173"/>
      <c r="BH44" s="219"/>
      <c r="BI44" s="173"/>
      <c r="BJ44" s="222"/>
      <c r="BK44" s="173"/>
      <c r="BL44" s="222"/>
      <c r="BM44" s="173"/>
      <c r="BN44" s="222"/>
      <c r="BO44" s="173"/>
      <c r="BP44" s="222"/>
      <c r="BQ44" s="173"/>
      <c r="BR44" s="222"/>
      <c r="BS44" s="173"/>
      <c r="BT44" s="222"/>
      <c r="BU44" s="173"/>
      <c r="BV44" s="222"/>
      <c r="BW44" s="171">
        <v>402245.81</v>
      </c>
      <c r="BX44" s="220">
        <v>402245.81</v>
      </c>
      <c r="BY44" s="220">
        <v>402245.81</v>
      </c>
      <c r="BZ44" s="220">
        <v>0</v>
      </c>
      <c r="CA44" s="220">
        <v>402245.81</v>
      </c>
      <c r="CB44" s="221">
        <v>1</v>
      </c>
      <c r="CC44" s="221" t="s">
        <v>421</v>
      </c>
      <c r="CD44" s="220">
        <v>100561.45</v>
      </c>
      <c r="CE44" s="17">
        <v>0</v>
      </c>
      <c r="CF44" s="170"/>
    </row>
    <row r="45" spans="1:84" x14ac:dyDescent="0.25">
      <c r="A45" s="170" t="s">
        <v>52</v>
      </c>
      <c r="B45" s="170" t="s">
        <v>10</v>
      </c>
      <c r="C45" s="170" t="s">
        <v>180</v>
      </c>
      <c r="D45" s="170" t="s">
        <v>695</v>
      </c>
      <c r="E45" s="170" t="s">
        <v>696</v>
      </c>
      <c r="F45" s="170" t="s">
        <v>844</v>
      </c>
      <c r="H45" s="170"/>
      <c r="I45" s="170"/>
      <c r="J45" s="17">
        <v>6</v>
      </c>
      <c r="K45" s="17">
        <v>810</v>
      </c>
      <c r="L45" s="322">
        <v>13016.7</v>
      </c>
      <c r="M45" s="17">
        <v>7</v>
      </c>
      <c r="N45" s="17">
        <v>847</v>
      </c>
      <c r="O45" s="322">
        <v>17643.009999999998</v>
      </c>
      <c r="P45" s="17">
        <v>3</v>
      </c>
      <c r="Q45" s="17">
        <v>15</v>
      </c>
      <c r="R45" s="322">
        <v>2655</v>
      </c>
      <c r="S45" s="17">
        <v>3</v>
      </c>
      <c r="T45" s="17">
        <v>15</v>
      </c>
      <c r="U45" s="322">
        <v>2655</v>
      </c>
      <c r="V45" s="17">
        <v>0</v>
      </c>
      <c r="W45" s="322">
        <v>0</v>
      </c>
      <c r="X45" s="17">
        <v>0</v>
      </c>
      <c r="Y45" s="322">
        <v>0</v>
      </c>
      <c r="Z45" s="17">
        <v>0</v>
      </c>
      <c r="AA45" s="322">
        <v>0</v>
      </c>
      <c r="AB45" s="17">
        <v>0</v>
      </c>
      <c r="AC45" s="322">
        <v>0</v>
      </c>
      <c r="AD45" s="17">
        <v>0</v>
      </c>
      <c r="AE45" s="322">
        <v>0</v>
      </c>
      <c r="AF45" s="322">
        <v>1</v>
      </c>
      <c r="AG45" s="322">
        <v>8000</v>
      </c>
      <c r="AH45" s="322">
        <v>20</v>
      </c>
      <c r="AI45" s="322">
        <v>8000</v>
      </c>
      <c r="AO45" s="322">
        <v>19</v>
      </c>
      <c r="AP45" s="322">
        <v>7600</v>
      </c>
      <c r="AQ45" s="322">
        <v>51569.71</v>
      </c>
      <c r="AR45" s="17">
        <v>1</v>
      </c>
      <c r="AS45" s="17">
        <v>0</v>
      </c>
      <c r="AT45" s="210"/>
      <c r="AU45" s="210"/>
      <c r="AV45" s="17" t="s">
        <v>227</v>
      </c>
      <c r="AW45" s="215"/>
      <c r="AX45" s="215">
        <v>51569.71</v>
      </c>
      <c r="AY45" s="148">
        <v>41255.769999999997</v>
      </c>
      <c r="AZ45" s="216" t="s">
        <v>441</v>
      </c>
      <c r="BA45" s="148">
        <v>10313.94</v>
      </c>
      <c r="BB45" s="217"/>
      <c r="BC45" s="173"/>
      <c r="BD45" s="172"/>
      <c r="BE45" s="173"/>
      <c r="BF45" s="213"/>
      <c r="BG45" s="173"/>
      <c r="BH45" s="219"/>
      <c r="BI45" s="173"/>
      <c r="BJ45" s="222"/>
      <c r="BK45" s="173"/>
      <c r="BL45" s="222"/>
      <c r="BM45" s="173"/>
      <c r="BN45" s="222"/>
      <c r="BO45" s="173"/>
      <c r="BP45" s="222"/>
      <c r="BQ45" s="173"/>
      <c r="BR45" s="222"/>
      <c r="BS45" s="173"/>
      <c r="BT45" s="222"/>
      <c r="BU45" s="173"/>
      <c r="BV45" s="222"/>
      <c r="BW45" s="171">
        <v>41255.769999999997</v>
      </c>
      <c r="BX45" s="220">
        <v>41255.769999999997</v>
      </c>
      <c r="BY45" s="220">
        <v>41255.769999999997</v>
      </c>
      <c r="BZ45" s="220">
        <v>0</v>
      </c>
      <c r="CA45" s="220">
        <v>41255.769999999997</v>
      </c>
      <c r="CB45" s="221">
        <v>1</v>
      </c>
      <c r="CC45" s="221" t="s">
        <v>421</v>
      </c>
      <c r="CD45" s="220">
        <v>10313.94</v>
      </c>
      <c r="CE45" s="17">
        <v>0</v>
      </c>
      <c r="CF45" s="170"/>
    </row>
    <row r="46" spans="1:84" x14ac:dyDescent="0.25">
      <c r="A46" s="170" t="s">
        <v>232</v>
      </c>
      <c r="B46" s="170" t="s">
        <v>697</v>
      </c>
      <c r="C46" s="170" t="s">
        <v>238</v>
      </c>
      <c r="D46" s="170" t="s">
        <v>698</v>
      </c>
      <c r="E46" s="170" t="s">
        <v>699</v>
      </c>
      <c r="F46" s="170" t="s">
        <v>845</v>
      </c>
      <c r="H46" s="170" t="s">
        <v>846</v>
      </c>
      <c r="I46" s="170"/>
      <c r="J46" s="17">
        <v>0</v>
      </c>
      <c r="K46" s="17">
        <v>0</v>
      </c>
      <c r="L46" s="322">
        <v>0</v>
      </c>
      <c r="M46" s="17">
        <v>8</v>
      </c>
      <c r="N46" s="17">
        <v>968</v>
      </c>
      <c r="O46" s="322">
        <v>20163.439999999999</v>
      </c>
      <c r="P46" s="17">
        <v>3</v>
      </c>
      <c r="Q46" s="17">
        <v>15</v>
      </c>
      <c r="R46" s="322">
        <v>2655</v>
      </c>
      <c r="S46" s="17">
        <v>5</v>
      </c>
      <c r="T46" s="17">
        <v>25</v>
      </c>
      <c r="U46" s="322">
        <v>4425</v>
      </c>
      <c r="W46" s="322"/>
      <c r="Y46" s="322"/>
      <c r="AA46" s="322"/>
      <c r="AC46" s="322"/>
      <c r="AE46" s="322"/>
      <c r="AF46" s="322"/>
      <c r="AG46" s="322"/>
      <c r="AH46" s="322"/>
      <c r="AI46" s="322"/>
      <c r="AO46" s="322">
        <v>16</v>
      </c>
      <c r="AP46" s="322">
        <v>6400</v>
      </c>
      <c r="AQ46" s="322">
        <v>33643.440000000002</v>
      </c>
      <c r="AR46" s="17">
        <v>1</v>
      </c>
      <c r="AS46" s="17">
        <v>0</v>
      </c>
      <c r="AT46" s="210"/>
      <c r="AU46" s="210"/>
      <c r="AV46" s="17" t="s">
        <v>227</v>
      </c>
      <c r="AW46" s="215"/>
      <c r="AX46" s="215">
        <v>33643.440000000002</v>
      </c>
      <c r="AY46" s="148">
        <v>26914.75</v>
      </c>
      <c r="AZ46" s="216" t="s">
        <v>441</v>
      </c>
      <c r="BA46" s="148">
        <v>6728.69</v>
      </c>
      <c r="BB46" s="217"/>
      <c r="BC46" s="173"/>
      <c r="BD46" s="172"/>
      <c r="BE46" s="173"/>
      <c r="BF46" s="213"/>
      <c r="BG46" s="173"/>
      <c r="BH46" s="219"/>
      <c r="BI46" s="173"/>
      <c r="BJ46" s="222"/>
      <c r="BK46" s="173"/>
      <c r="BL46" s="222"/>
      <c r="BM46" s="173"/>
      <c r="BN46" s="222"/>
      <c r="BO46" s="173"/>
      <c r="BP46" s="222"/>
      <c r="BQ46" s="173"/>
      <c r="BR46" s="222"/>
      <c r="BS46" s="173"/>
      <c r="BT46" s="222"/>
      <c r="BU46" s="173"/>
      <c r="BV46" s="222"/>
      <c r="BW46" s="171">
        <v>26914.75</v>
      </c>
      <c r="BX46" s="220">
        <v>26914.75</v>
      </c>
      <c r="BY46" s="220">
        <v>26914.75</v>
      </c>
      <c r="BZ46" s="220">
        <v>0</v>
      </c>
      <c r="CA46" s="220">
        <v>26914.75</v>
      </c>
      <c r="CB46" s="221">
        <v>1</v>
      </c>
      <c r="CC46" s="221" t="s">
        <v>421</v>
      </c>
      <c r="CD46" s="220">
        <v>6728.69</v>
      </c>
      <c r="CE46" s="17">
        <v>0</v>
      </c>
      <c r="CF46" s="170"/>
    </row>
    <row r="47" spans="1:84" x14ac:dyDescent="0.25">
      <c r="A47" s="170" t="s">
        <v>53</v>
      </c>
      <c r="B47" s="170" t="s">
        <v>443</v>
      </c>
      <c r="C47" s="170" t="s">
        <v>181</v>
      </c>
      <c r="D47" s="170" t="s">
        <v>700</v>
      </c>
      <c r="E47" s="170" t="s">
        <v>701</v>
      </c>
      <c r="F47" s="170" t="s">
        <v>847</v>
      </c>
      <c r="H47" s="170"/>
      <c r="I47" s="170"/>
      <c r="J47" s="17">
        <v>44</v>
      </c>
      <c r="K47" s="17">
        <v>5940</v>
      </c>
      <c r="L47" s="322">
        <v>95455.8</v>
      </c>
      <c r="M47" s="17">
        <v>62</v>
      </c>
      <c r="N47" s="17">
        <v>7502</v>
      </c>
      <c r="O47" s="322">
        <v>156266.66</v>
      </c>
      <c r="P47" s="17">
        <v>8</v>
      </c>
      <c r="Q47" s="17">
        <v>40</v>
      </c>
      <c r="R47" s="322">
        <v>7080</v>
      </c>
      <c r="S47" s="17">
        <v>11</v>
      </c>
      <c r="T47" s="17">
        <v>55</v>
      </c>
      <c r="U47" s="322">
        <v>9735</v>
      </c>
      <c r="V47" s="17">
        <v>0</v>
      </c>
      <c r="W47" s="322">
        <v>0</v>
      </c>
      <c r="X47" s="17">
        <v>0</v>
      </c>
      <c r="Y47" s="322">
        <v>0</v>
      </c>
      <c r="Z47" s="17">
        <v>0</v>
      </c>
      <c r="AA47" s="322">
        <v>0</v>
      </c>
      <c r="AB47" s="17">
        <v>0</v>
      </c>
      <c r="AC47" s="322">
        <v>0</v>
      </c>
      <c r="AD47" s="17">
        <v>0</v>
      </c>
      <c r="AE47" s="322">
        <v>0</v>
      </c>
      <c r="AF47" s="322">
        <v>1</v>
      </c>
      <c r="AG47" s="322">
        <v>8000</v>
      </c>
      <c r="AH47" s="322">
        <v>20</v>
      </c>
      <c r="AI47" s="322">
        <v>8000</v>
      </c>
      <c r="AO47" s="322">
        <v>125</v>
      </c>
      <c r="AP47" s="322">
        <v>45750</v>
      </c>
      <c r="AQ47" s="322">
        <v>322287.46000000002</v>
      </c>
      <c r="AR47" s="17">
        <v>1</v>
      </c>
      <c r="AS47" s="17">
        <v>0</v>
      </c>
      <c r="AT47" s="210"/>
      <c r="AU47" s="210"/>
      <c r="AV47" s="227" t="s">
        <v>227</v>
      </c>
      <c r="AW47" s="228"/>
      <c r="AX47" s="228">
        <v>322287.46000000002</v>
      </c>
      <c r="AY47" s="148">
        <v>257829.97</v>
      </c>
      <c r="AZ47" s="216" t="s">
        <v>441</v>
      </c>
      <c r="BA47" s="148">
        <v>64457.49</v>
      </c>
      <c r="BB47" s="217"/>
      <c r="BC47" s="173"/>
      <c r="BD47" s="172"/>
      <c r="BE47" s="173"/>
      <c r="BF47" s="213"/>
      <c r="BG47" s="173"/>
      <c r="BH47" s="219"/>
      <c r="BI47" s="173"/>
      <c r="BJ47" s="222"/>
      <c r="BK47" s="173"/>
      <c r="BL47" s="222"/>
      <c r="BM47" s="173"/>
      <c r="BN47" s="222"/>
      <c r="BO47" s="173"/>
      <c r="BP47" s="222"/>
      <c r="BQ47" s="173"/>
      <c r="BR47" s="222"/>
      <c r="BS47" s="173"/>
      <c r="BT47" s="222"/>
      <c r="BU47" s="173"/>
      <c r="BV47" s="222"/>
      <c r="BW47" s="171">
        <v>257829.97</v>
      </c>
      <c r="BX47" s="220">
        <v>257829.97</v>
      </c>
      <c r="BY47" s="220">
        <v>257829.97</v>
      </c>
      <c r="BZ47" s="220">
        <v>0</v>
      </c>
      <c r="CA47" s="220">
        <v>257829.97</v>
      </c>
      <c r="CB47" s="221">
        <v>1</v>
      </c>
      <c r="CC47" s="221" t="s">
        <v>421</v>
      </c>
      <c r="CD47" s="220">
        <v>64457.49</v>
      </c>
      <c r="CE47" s="17">
        <v>0</v>
      </c>
      <c r="CF47" s="170"/>
    </row>
    <row r="48" spans="1:84" x14ac:dyDescent="0.25">
      <c r="A48" s="170" t="s">
        <v>54</v>
      </c>
      <c r="B48" s="170" t="s">
        <v>100</v>
      </c>
      <c r="C48" s="170" t="s">
        <v>182</v>
      </c>
      <c r="D48" s="170" t="s">
        <v>702</v>
      </c>
      <c r="E48" s="170" t="s">
        <v>703</v>
      </c>
      <c r="F48" s="170" t="s">
        <v>848</v>
      </c>
      <c r="H48" s="170" t="s">
        <v>849</v>
      </c>
      <c r="I48" s="170"/>
      <c r="J48" s="17">
        <v>93</v>
      </c>
      <c r="K48" s="17">
        <v>12555</v>
      </c>
      <c r="L48" s="322">
        <v>201758.85</v>
      </c>
      <c r="M48" s="17">
        <v>25</v>
      </c>
      <c r="N48" s="17">
        <v>3025</v>
      </c>
      <c r="O48" s="322">
        <v>63010.75</v>
      </c>
      <c r="P48" s="17">
        <v>13</v>
      </c>
      <c r="Q48" s="17">
        <v>65</v>
      </c>
      <c r="R48" s="322">
        <v>11505</v>
      </c>
      <c r="S48" s="17">
        <v>19</v>
      </c>
      <c r="T48" s="17">
        <v>95</v>
      </c>
      <c r="U48" s="322">
        <v>16815</v>
      </c>
      <c r="V48" s="17">
        <v>0</v>
      </c>
      <c r="W48" s="322">
        <v>0</v>
      </c>
      <c r="X48" s="17">
        <v>0</v>
      </c>
      <c r="Y48" s="322">
        <v>0</v>
      </c>
      <c r="Z48" s="17">
        <v>0</v>
      </c>
      <c r="AA48" s="322">
        <v>0</v>
      </c>
      <c r="AB48" s="17">
        <v>0</v>
      </c>
      <c r="AC48" s="322">
        <v>0</v>
      </c>
      <c r="AD48" s="17">
        <v>0</v>
      </c>
      <c r="AE48" s="322">
        <v>0</v>
      </c>
      <c r="AF48" s="322">
        <v>5</v>
      </c>
      <c r="AG48" s="322">
        <v>40000</v>
      </c>
      <c r="AH48" s="322">
        <v>100</v>
      </c>
      <c r="AI48" s="322">
        <v>40000</v>
      </c>
      <c r="AO48" s="322">
        <v>150</v>
      </c>
      <c r="AP48" s="322">
        <v>51500</v>
      </c>
      <c r="AQ48" s="322">
        <v>384589.6</v>
      </c>
      <c r="AR48" s="17">
        <v>1</v>
      </c>
      <c r="AS48" s="17">
        <v>0</v>
      </c>
      <c r="AT48" s="210"/>
      <c r="AU48" s="210"/>
      <c r="AV48" s="17" t="s">
        <v>227</v>
      </c>
      <c r="AW48" s="215"/>
      <c r="AX48" s="215">
        <v>384589.6</v>
      </c>
      <c r="AY48" s="148">
        <v>307671.67999999999</v>
      </c>
      <c r="AZ48" s="216" t="s">
        <v>441</v>
      </c>
      <c r="BA48" s="148">
        <v>76917.919999999998</v>
      </c>
      <c r="BB48" s="217"/>
      <c r="BC48" s="173"/>
      <c r="BD48" s="172"/>
      <c r="BE48" s="173"/>
      <c r="BF48" s="213"/>
      <c r="BG48" s="173"/>
      <c r="BH48" s="219"/>
      <c r="BI48" s="173"/>
      <c r="BJ48" s="222"/>
      <c r="BK48" s="173"/>
      <c r="BL48" s="222"/>
      <c r="BM48" s="173"/>
      <c r="BN48" s="222"/>
      <c r="BO48" s="173"/>
      <c r="BP48" s="222"/>
      <c r="BQ48" s="173"/>
      <c r="BR48" s="222"/>
      <c r="BS48" s="173"/>
      <c r="BT48" s="222"/>
      <c r="BU48" s="173"/>
      <c r="BV48" s="222"/>
      <c r="BW48" s="171">
        <v>307671.67999999999</v>
      </c>
      <c r="BX48" s="220">
        <v>307671.67999999999</v>
      </c>
      <c r="BY48" s="220">
        <v>307671.67999999999</v>
      </c>
      <c r="BZ48" s="220">
        <v>0</v>
      </c>
      <c r="CA48" s="220">
        <v>307671.67999999999</v>
      </c>
      <c r="CB48" s="221">
        <v>1</v>
      </c>
      <c r="CC48" s="221" t="s">
        <v>421</v>
      </c>
      <c r="CD48" s="220">
        <v>76917.919999999998</v>
      </c>
      <c r="CE48" s="17">
        <v>0</v>
      </c>
      <c r="CF48" s="170"/>
    </row>
    <row r="49" spans="1:84" x14ac:dyDescent="0.25">
      <c r="A49" s="170" t="s">
        <v>55</v>
      </c>
      <c r="B49" s="170" t="s">
        <v>126</v>
      </c>
      <c r="C49" s="170" t="s">
        <v>183</v>
      </c>
      <c r="D49" s="170" t="s">
        <v>704</v>
      </c>
      <c r="E49" s="170" t="s">
        <v>705</v>
      </c>
      <c r="F49" s="170" t="s">
        <v>850</v>
      </c>
      <c r="H49" s="170" t="s">
        <v>851</v>
      </c>
      <c r="I49" s="170"/>
      <c r="J49" s="17">
        <v>21</v>
      </c>
      <c r="K49" s="17">
        <v>2835</v>
      </c>
      <c r="L49" s="322">
        <v>45558.45</v>
      </c>
      <c r="M49" s="17">
        <v>3</v>
      </c>
      <c r="N49" s="17">
        <v>363</v>
      </c>
      <c r="O49" s="322">
        <v>7561.29</v>
      </c>
      <c r="P49" s="17">
        <v>2</v>
      </c>
      <c r="Q49" s="17">
        <v>10</v>
      </c>
      <c r="R49" s="322">
        <v>1770</v>
      </c>
      <c r="S49" s="17">
        <v>2</v>
      </c>
      <c r="T49" s="17">
        <v>10</v>
      </c>
      <c r="U49" s="322">
        <v>1770</v>
      </c>
      <c r="V49" s="17">
        <v>1</v>
      </c>
      <c r="W49" s="322">
        <v>6000</v>
      </c>
      <c r="X49" s="17">
        <v>0</v>
      </c>
      <c r="Y49" s="322">
        <v>0</v>
      </c>
      <c r="Z49" s="17">
        <v>0</v>
      </c>
      <c r="AA49" s="322">
        <v>0</v>
      </c>
      <c r="AB49" s="17">
        <v>0</v>
      </c>
      <c r="AC49" s="322">
        <v>0</v>
      </c>
      <c r="AD49" s="17">
        <v>0</v>
      </c>
      <c r="AE49" s="322">
        <v>0</v>
      </c>
      <c r="AF49" s="322">
        <v>0</v>
      </c>
      <c r="AG49" s="322">
        <v>0</v>
      </c>
      <c r="AH49" s="322">
        <v>15</v>
      </c>
      <c r="AI49" s="322">
        <v>6000</v>
      </c>
      <c r="AO49" s="322">
        <v>28</v>
      </c>
      <c r="AP49" s="322">
        <v>11200</v>
      </c>
      <c r="AQ49" s="322">
        <v>73859.740000000005</v>
      </c>
      <c r="AR49" s="17">
        <v>1</v>
      </c>
      <c r="AS49" s="17">
        <v>0</v>
      </c>
      <c r="AT49" s="210"/>
      <c r="AU49" s="210"/>
      <c r="AV49" s="17" t="s">
        <v>227</v>
      </c>
      <c r="AW49" s="215"/>
      <c r="AX49" s="215">
        <v>73859.740000000005</v>
      </c>
      <c r="AY49" s="148">
        <v>59087.79</v>
      </c>
      <c r="AZ49" s="216" t="s">
        <v>441</v>
      </c>
      <c r="BA49" s="148">
        <v>14771.95</v>
      </c>
      <c r="BB49" s="217"/>
      <c r="BC49" s="173"/>
      <c r="BD49" s="172"/>
      <c r="BE49" s="173"/>
      <c r="BF49" s="213"/>
      <c r="BG49" s="173"/>
      <c r="BH49" s="219"/>
      <c r="BI49" s="173"/>
      <c r="BJ49" s="222"/>
      <c r="BK49" s="173"/>
      <c r="BL49" s="222"/>
      <c r="BM49" s="173"/>
      <c r="BN49" s="222"/>
      <c r="BO49" s="173"/>
      <c r="BP49" s="222"/>
      <c r="BQ49" s="173"/>
      <c r="BR49" s="222"/>
      <c r="BS49" s="173"/>
      <c r="BT49" s="222"/>
      <c r="BU49" s="173"/>
      <c r="BV49" s="222"/>
      <c r="BW49" s="171">
        <v>59087.79</v>
      </c>
      <c r="BX49" s="220">
        <v>59087.79</v>
      </c>
      <c r="BY49" s="220">
        <v>59087.79</v>
      </c>
      <c r="BZ49" s="220">
        <v>0</v>
      </c>
      <c r="CA49" s="220">
        <v>59087.79</v>
      </c>
      <c r="CB49" s="221">
        <v>1</v>
      </c>
      <c r="CC49" s="221" t="s">
        <v>421</v>
      </c>
      <c r="CD49" s="220">
        <v>14771.95</v>
      </c>
      <c r="CE49" s="17">
        <v>0</v>
      </c>
      <c r="CF49" s="170"/>
    </row>
    <row r="50" spans="1:84" x14ac:dyDescent="0.25">
      <c r="A50" s="170" t="s">
        <v>706</v>
      </c>
      <c r="B50" s="170" t="s">
        <v>707</v>
      </c>
      <c r="C50" s="170" t="s">
        <v>708</v>
      </c>
      <c r="D50" s="170" t="s">
        <v>709</v>
      </c>
      <c r="E50" s="170" t="s">
        <v>710</v>
      </c>
      <c r="F50" s="170" t="s">
        <v>852</v>
      </c>
      <c r="H50" s="170" t="s">
        <v>853</v>
      </c>
      <c r="I50" s="170"/>
      <c r="J50" s="17">
        <v>18</v>
      </c>
      <c r="K50" s="17">
        <v>2430</v>
      </c>
      <c r="L50" s="322">
        <v>39050.1</v>
      </c>
      <c r="M50" s="17">
        <v>9</v>
      </c>
      <c r="N50" s="17">
        <v>1089</v>
      </c>
      <c r="O50" s="322">
        <v>22683.87</v>
      </c>
      <c r="P50" s="17">
        <v>14</v>
      </c>
      <c r="Q50" s="17">
        <v>70</v>
      </c>
      <c r="R50" s="322">
        <v>12390</v>
      </c>
      <c r="S50" s="17">
        <v>14</v>
      </c>
      <c r="T50" s="17">
        <v>70</v>
      </c>
      <c r="U50" s="322">
        <v>12390</v>
      </c>
      <c r="V50" s="17">
        <v>0</v>
      </c>
      <c r="W50" s="322">
        <v>0</v>
      </c>
      <c r="X50" s="17">
        <v>0</v>
      </c>
      <c r="Y50" s="322">
        <v>0</v>
      </c>
      <c r="Z50" s="17">
        <v>0</v>
      </c>
      <c r="AA50" s="322">
        <v>0</v>
      </c>
      <c r="AB50" s="17">
        <v>0</v>
      </c>
      <c r="AC50" s="322">
        <v>0</v>
      </c>
      <c r="AD50" s="17">
        <v>0</v>
      </c>
      <c r="AE50" s="322">
        <v>0</v>
      </c>
      <c r="AF50" s="322">
        <v>2</v>
      </c>
      <c r="AG50" s="322">
        <v>16000</v>
      </c>
      <c r="AH50" s="322">
        <v>40</v>
      </c>
      <c r="AI50" s="322">
        <v>16000</v>
      </c>
      <c r="AO50" s="322">
        <v>55</v>
      </c>
      <c r="AP50" s="322">
        <v>22000</v>
      </c>
      <c r="AQ50" s="322">
        <v>124513.97</v>
      </c>
      <c r="AR50" s="17">
        <v>1</v>
      </c>
      <c r="AS50" s="17">
        <v>0</v>
      </c>
      <c r="AT50" s="210"/>
      <c r="AU50" s="210"/>
      <c r="AV50" s="17" t="s">
        <v>229</v>
      </c>
      <c r="AW50" s="215"/>
      <c r="AX50" s="215">
        <v>124513.97</v>
      </c>
      <c r="AY50" s="148">
        <v>49805.59</v>
      </c>
      <c r="AZ50" s="216" t="s">
        <v>441</v>
      </c>
      <c r="BA50" s="148">
        <v>49805.59</v>
      </c>
      <c r="BB50" s="217"/>
      <c r="BC50" s="148">
        <v>24902.79</v>
      </c>
      <c r="BD50" s="217"/>
      <c r="BE50" s="173"/>
      <c r="BF50" s="213"/>
      <c r="BG50" s="173"/>
      <c r="BH50" s="219"/>
      <c r="BI50" s="173"/>
      <c r="BJ50" s="222"/>
      <c r="BK50" s="173"/>
      <c r="BL50" s="222"/>
      <c r="BM50" s="173"/>
      <c r="BN50" s="222"/>
      <c r="BO50" s="173"/>
      <c r="BP50" s="222"/>
      <c r="BQ50" s="173"/>
      <c r="BR50" s="222"/>
      <c r="BS50" s="173"/>
      <c r="BT50" s="222"/>
      <c r="BU50" s="173"/>
      <c r="BV50" s="222"/>
      <c r="BW50" s="171">
        <v>49805.59</v>
      </c>
      <c r="BX50" s="220">
        <v>49805.59</v>
      </c>
      <c r="BY50" s="220">
        <v>49805.59</v>
      </c>
      <c r="BZ50" s="220">
        <v>0</v>
      </c>
      <c r="CA50" s="220">
        <v>49805.59</v>
      </c>
      <c r="CB50" s="221">
        <v>1</v>
      </c>
      <c r="CC50" s="221" t="s">
        <v>421</v>
      </c>
      <c r="CD50" s="220">
        <v>49805.59</v>
      </c>
      <c r="CE50" s="17">
        <v>0</v>
      </c>
      <c r="CF50" s="170"/>
    </row>
    <row r="51" spans="1:84" x14ac:dyDescent="0.25">
      <c r="A51" s="170" t="s">
        <v>56</v>
      </c>
      <c r="B51" s="170" t="s">
        <v>101</v>
      </c>
      <c r="C51" s="170" t="s">
        <v>184</v>
      </c>
      <c r="D51" s="170" t="s">
        <v>711</v>
      </c>
      <c r="E51" s="170" t="s">
        <v>712</v>
      </c>
      <c r="F51" s="170" t="s">
        <v>854</v>
      </c>
      <c r="H51" s="170"/>
      <c r="I51" s="170"/>
      <c r="J51" s="17">
        <v>111</v>
      </c>
      <c r="K51" s="17">
        <v>14985</v>
      </c>
      <c r="L51" s="322">
        <v>240808.95</v>
      </c>
      <c r="M51" s="17">
        <v>42</v>
      </c>
      <c r="N51" s="17">
        <v>5082</v>
      </c>
      <c r="O51" s="322">
        <v>105858.06</v>
      </c>
      <c r="P51" s="17">
        <v>11</v>
      </c>
      <c r="Q51" s="17">
        <v>55</v>
      </c>
      <c r="R51" s="322">
        <v>9735</v>
      </c>
      <c r="S51" s="17">
        <v>11</v>
      </c>
      <c r="T51" s="17">
        <v>55</v>
      </c>
      <c r="U51" s="322">
        <v>9735</v>
      </c>
      <c r="W51" s="322"/>
      <c r="Y51" s="322"/>
      <c r="AA51" s="322"/>
      <c r="AC51" s="322"/>
      <c r="AE51" s="322"/>
      <c r="AF51" s="322"/>
      <c r="AG51" s="322"/>
      <c r="AH51" s="322"/>
      <c r="AI51" s="322"/>
      <c r="AO51" s="322">
        <v>175</v>
      </c>
      <c r="AP51" s="322">
        <v>57250</v>
      </c>
      <c r="AQ51" s="322">
        <v>423387.01</v>
      </c>
      <c r="AR51" s="17">
        <v>1</v>
      </c>
      <c r="AS51" s="17">
        <v>0</v>
      </c>
      <c r="AT51" s="210"/>
      <c r="AU51" s="210"/>
      <c r="AV51" s="17" t="s">
        <v>227</v>
      </c>
      <c r="AW51" s="215"/>
      <c r="AX51" s="215">
        <v>423387.01</v>
      </c>
      <c r="AY51" s="148">
        <v>338709.61</v>
      </c>
      <c r="AZ51" s="216" t="s">
        <v>441</v>
      </c>
      <c r="BA51" s="148">
        <v>84677.4</v>
      </c>
      <c r="BB51" s="217"/>
      <c r="BC51" s="148"/>
      <c r="BD51" s="217"/>
      <c r="BE51" s="173"/>
      <c r="BF51" s="213"/>
      <c r="BG51" s="173"/>
      <c r="BH51" s="219"/>
      <c r="BI51" s="173"/>
      <c r="BJ51" s="222"/>
      <c r="BK51" s="173"/>
      <c r="BL51" s="222"/>
      <c r="BM51" s="173"/>
      <c r="BN51" s="222"/>
      <c r="BO51" s="173"/>
      <c r="BP51" s="222"/>
      <c r="BQ51" s="173"/>
      <c r="BR51" s="222"/>
      <c r="BS51" s="173"/>
      <c r="BT51" s="222"/>
      <c r="BU51" s="173"/>
      <c r="BV51" s="222"/>
      <c r="BW51" s="171">
        <v>338709.61</v>
      </c>
      <c r="BX51" s="220">
        <v>338709.61</v>
      </c>
      <c r="BY51" s="220">
        <v>338709.61</v>
      </c>
      <c r="BZ51" s="220">
        <v>0</v>
      </c>
      <c r="CA51" s="220">
        <v>338709.61</v>
      </c>
      <c r="CB51" s="221">
        <v>1</v>
      </c>
      <c r="CC51" s="221" t="s">
        <v>421</v>
      </c>
      <c r="CD51" s="220">
        <v>84677.4</v>
      </c>
      <c r="CE51" s="17">
        <v>0</v>
      </c>
      <c r="CF51" s="170"/>
    </row>
    <row r="52" spans="1:84" x14ac:dyDescent="0.25">
      <c r="A52" s="170" t="s">
        <v>57</v>
      </c>
      <c r="B52" s="170" t="s">
        <v>117</v>
      </c>
      <c r="C52" s="170" t="s">
        <v>185</v>
      </c>
      <c r="D52" s="170" t="s">
        <v>713</v>
      </c>
      <c r="E52" s="170" t="s">
        <v>714</v>
      </c>
      <c r="F52" s="170" t="s">
        <v>855</v>
      </c>
      <c r="H52" s="170"/>
      <c r="I52" s="170"/>
      <c r="J52" s="17">
        <v>787</v>
      </c>
      <c r="K52" s="17">
        <v>106245</v>
      </c>
      <c r="L52" s="322">
        <v>1707357.15</v>
      </c>
      <c r="M52" s="17">
        <v>285</v>
      </c>
      <c r="N52" s="17">
        <v>34485</v>
      </c>
      <c r="O52" s="322">
        <v>718322.55</v>
      </c>
      <c r="P52" s="17">
        <v>75</v>
      </c>
      <c r="Q52" s="17">
        <v>375</v>
      </c>
      <c r="R52" s="322">
        <v>66375</v>
      </c>
      <c r="S52" s="17">
        <v>35</v>
      </c>
      <c r="T52" s="17">
        <v>175</v>
      </c>
      <c r="U52" s="322">
        <v>30975</v>
      </c>
      <c r="V52" s="17">
        <v>0</v>
      </c>
      <c r="W52" s="322">
        <v>0</v>
      </c>
      <c r="X52" s="17">
        <v>0</v>
      </c>
      <c r="Y52" s="322">
        <v>0</v>
      </c>
      <c r="Z52" s="17">
        <v>0</v>
      </c>
      <c r="AA52" s="322">
        <v>0</v>
      </c>
      <c r="AB52" s="17">
        <v>0</v>
      </c>
      <c r="AC52" s="322">
        <v>0</v>
      </c>
      <c r="AD52" s="17">
        <v>0</v>
      </c>
      <c r="AE52" s="322">
        <v>0</v>
      </c>
      <c r="AF52" s="322">
        <v>5</v>
      </c>
      <c r="AG52" s="322">
        <v>40000</v>
      </c>
      <c r="AH52" s="322">
        <v>100</v>
      </c>
      <c r="AI52" s="322">
        <v>40000</v>
      </c>
      <c r="AJ52" s="17">
        <v>1</v>
      </c>
      <c r="AK52" s="17">
        <v>6456.13</v>
      </c>
      <c r="AL52" s="17">
        <v>1</v>
      </c>
      <c r="AM52" s="17">
        <v>100</v>
      </c>
      <c r="AO52" s="322">
        <v>1182</v>
      </c>
      <c r="AP52" s="322">
        <v>288860</v>
      </c>
      <c r="AQ52" s="322">
        <v>2858445.83</v>
      </c>
      <c r="AR52" s="17">
        <v>2</v>
      </c>
      <c r="AS52" s="17">
        <v>0</v>
      </c>
      <c r="AT52" s="210"/>
      <c r="AU52" s="210"/>
      <c r="AV52" s="17" t="s">
        <v>227</v>
      </c>
      <c r="AW52" s="215"/>
      <c r="AX52" s="215">
        <v>2858445.8299999996</v>
      </c>
      <c r="AY52" s="148">
        <v>2281511.7599999998</v>
      </c>
      <c r="AZ52" s="216" t="s">
        <v>441</v>
      </c>
      <c r="BA52" s="148">
        <v>6556.13</v>
      </c>
      <c r="BB52" s="217" t="s">
        <v>886</v>
      </c>
      <c r="BC52" s="148">
        <v>570377.93999999994</v>
      </c>
      <c r="BD52" s="217"/>
      <c r="BE52" s="173"/>
      <c r="BF52" s="213"/>
      <c r="BG52" s="173"/>
      <c r="BH52" s="219"/>
      <c r="BI52" s="173"/>
      <c r="BJ52" s="219"/>
      <c r="BK52" s="173"/>
      <c r="BL52" s="222"/>
      <c r="BM52" s="173"/>
      <c r="BN52" s="222"/>
      <c r="BO52" s="173"/>
      <c r="BP52" s="222"/>
      <c r="BQ52" s="173"/>
      <c r="BR52" s="222"/>
      <c r="BS52" s="173"/>
      <c r="BT52" s="222"/>
      <c r="BU52" s="173"/>
      <c r="BV52" s="222"/>
      <c r="BW52" s="171">
        <v>2288067.8899999997</v>
      </c>
      <c r="BX52" s="220">
        <v>2288067.8899999997</v>
      </c>
      <c r="BY52" s="220">
        <v>2288067.8899999997</v>
      </c>
      <c r="BZ52" s="220">
        <v>6556.13</v>
      </c>
      <c r="CA52" s="220">
        <v>2281511.7599999998</v>
      </c>
      <c r="CB52" s="221">
        <v>2</v>
      </c>
      <c r="CC52" s="221" t="s">
        <v>887</v>
      </c>
      <c r="CD52" s="220">
        <v>570377.93999999994</v>
      </c>
      <c r="CE52" s="17">
        <v>0</v>
      </c>
      <c r="CF52" s="170"/>
    </row>
    <row r="53" spans="1:84" x14ac:dyDescent="0.25">
      <c r="A53" s="170" t="s">
        <v>58</v>
      </c>
      <c r="B53" s="170" t="s">
        <v>102</v>
      </c>
      <c r="C53" s="170" t="s">
        <v>186</v>
      </c>
      <c r="D53" s="170" t="s">
        <v>715</v>
      </c>
      <c r="E53" s="170" t="s">
        <v>716</v>
      </c>
      <c r="F53" s="170" t="s">
        <v>856</v>
      </c>
      <c r="H53" s="170"/>
      <c r="I53" s="170"/>
      <c r="J53" s="17">
        <v>214</v>
      </c>
      <c r="K53" s="17">
        <v>28890</v>
      </c>
      <c r="L53" s="322">
        <v>464262.3</v>
      </c>
      <c r="M53" s="17">
        <v>42</v>
      </c>
      <c r="N53" s="17">
        <v>5082</v>
      </c>
      <c r="O53" s="322">
        <v>105858.06</v>
      </c>
      <c r="P53" s="17">
        <v>9</v>
      </c>
      <c r="Q53" s="17">
        <v>45</v>
      </c>
      <c r="R53" s="322">
        <v>7965</v>
      </c>
      <c r="S53" s="17">
        <v>9</v>
      </c>
      <c r="T53" s="17">
        <v>45</v>
      </c>
      <c r="U53" s="322">
        <v>7965</v>
      </c>
      <c r="V53" s="17">
        <v>0</v>
      </c>
      <c r="W53" s="322">
        <v>0</v>
      </c>
      <c r="X53" s="17">
        <v>0</v>
      </c>
      <c r="Y53" s="322">
        <v>0</v>
      </c>
      <c r="Z53" s="17">
        <v>0</v>
      </c>
      <c r="AA53" s="322">
        <v>0</v>
      </c>
      <c r="AB53" s="17">
        <v>0</v>
      </c>
      <c r="AC53" s="322">
        <v>0</v>
      </c>
      <c r="AD53" s="17">
        <v>0</v>
      </c>
      <c r="AE53" s="322">
        <v>0</v>
      </c>
      <c r="AF53" s="322">
        <v>2</v>
      </c>
      <c r="AG53" s="322">
        <v>16000</v>
      </c>
      <c r="AH53" s="322">
        <v>40</v>
      </c>
      <c r="AI53" s="322">
        <v>16000</v>
      </c>
      <c r="AJ53" s="17">
        <v>1</v>
      </c>
      <c r="AK53" s="17">
        <v>799.8</v>
      </c>
      <c r="AL53" s="17">
        <v>1</v>
      </c>
      <c r="AM53" s="17">
        <v>100</v>
      </c>
      <c r="AO53" s="322">
        <v>274</v>
      </c>
      <c r="AP53" s="322">
        <v>80020</v>
      </c>
      <c r="AQ53" s="322">
        <v>682970.16</v>
      </c>
      <c r="AR53" s="17">
        <v>2</v>
      </c>
      <c r="AS53" s="17">
        <v>0</v>
      </c>
      <c r="AT53" s="210"/>
      <c r="AU53" s="210"/>
      <c r="AV53" s="17" t="s">
        <v>227</v>
      </c>
      <c r="AW53" s="215"/>
      <c r="AX53" s="215">
        <v>682970.16000000015</v>
      </c>
      <c r="AY53" s="148">
        <v>545656.29</v>
      </c>
      <c r="AZ53" s="216" t="s">
        <v>441</v>
      </c>
      <c r="BA53" s="148">
        <v>899.8</v>
      </c>
      <c r="BB53" s="217" t="s">
        <v>886</v>
      </c>
      <c r="BC53" s="148">
        <v>136414.07</v>
      </c>
      <c r="BD53" s="217"/>
      <c r="BE53" s="173"/>
      <c r="BF53" s="213"/>
      <c r="BG53" s="173"/>
      <c r="BH53" s="219"/>
      <c r="BI53" s="173"/>
      <c r="BJ53" s="222"/>
      <c r="BK53" s="173"/>
      <c r="BL53" s="222"/>
      <c r="BM53" s="173"/>
      <c r="BN53" s="222"/>
      <c r="BO53" s="173"/>
      <c r="BP53" s="222"/>
      <c r="BQ53" s="173"/>
      <c r="BR53" s="222"/>
      <c r="BS53" s="173"/>
      <c r="BT53" s="222"/>
      <c r="BU53" s="173"/>
      <c r="BV53" s="222"/>
      <c r="BW53" s="171">
        <v>546556.09000000008</v>
      </c>
      <c r="BX53" s="220">
        <v>546556.09000000008</v>
      </c>
      <c r="BY53" s="220">
        <v>546556.09000000008</v>
      </c>
      <c r="BZ53" s="220">
        <v>899.8</v>
      </c>
      <c r="CA53" s="220">
        <v>545656.29</v>
      </c>
      <c r="CB53" s="221">
        <v>2</v>
      </c>
      <c r="CC53" s="221" t="s">
        <v>887</v>
      </c>
      <c r="CD53" s="220">
        <v>136414.07</v>
      </c>
      <c r="CE53" s="17">
        <v>0</v>
      </c>
      <c r="CF53" s="170"/>
    </row>
    <row r="54" spans="1:84" x14ac:dyDescent="0.25">
      <c r="A54" s="170" t="s">
        <v>59</v>
      </c>
      <c r="B54" s="170" t="s">
        <v>103</v>
      </c>
      <c r="C54" s="170" t="s">
        <v>187</v>
      </c>
      <c r="D54" s="170" t="s">
        <v>717</v>
      </c>
      <c r="E54" s="170" t="s">
        <v>718</v>
      </c>
      <c r="F54" s="170" t="s">
        <v>857</v>
      </c>
      <c r="H54" s="170"/>
      <c r="I54" s="170"/>
      <c r="J54" s="17">
        <v>137</v>
      </c>
      <c r="K54" s="17">
        <v>18495</v>
      </c>
      <c r="L54" s="322">
        <v>297214.65000000002</v>
      </c>
      <c r="M54" s="17">
        <v>33</v>
      </c>
      <c r="N54" s="17">
        <v>3993</v>
      </c>
      <c r="O54" s="322">
        <v>83174.19</v>
      </c>
      <c r="P54" s="17">
        <v>13</v>
      </c>
      <c r="Q54" s="17">
        <v>65</v>
      </c>
      <c r="R54" s="322">
        <v>11505</v>
      </c>
      <c r="S54" s="17">
        <v>28</v>
      </c>
      <c r="T54" s="17">
        <v>140</v>
      </c>
      <c r="U54" s="322">
        <v>24780</v>
      </c>
      <c r="V54" s="17">
        <v>0</v>
      </c>
      <c r="W54" s="322">
        <v>0</v>
      </c>
      <c r="X54" s="17">
        <v>0</v>
      </c>
      <c r="Y54" s="322">
        <v>0</v>
      </c>
      <c r="Z54" s="17">
        <v>0</v>
      </c>
      <c r="AA54" s="322">
        <v>0</v>
      </c>
      <c r="AB54" s="17">
        <v>0</v>
      </c>
      <c r="AC54" s="322">
        <v>0</v>
      </c>
      <c r="AD54" s="17">
        <v>0</v>
      </c>
      <c r="AE54" s="322">
        <v>0</v>
      </c>
      <c r="AF54" s="322">
        <v>1</v>
      </c>
      <c r="AG54" s="322">
        <v>8000</v>
      </c>
      <c r="AH54" s="322">
        <v>20</v>
      </c>
      <c r="AI54" s="322">
        <v>8000</v>
      </c>
      <c r="AO54" s="322">
        <v>211</v>
      </c>
      <c r="AP54" s="322">
        <v>65530</v>
      </c>
      <c r="AQ54" s="322">
        <v>490203.84</v>
      </c>
      <c r="AR54" s="17">
        <v>1</v>
      </c>
      <c r="AS54" s="17">
        <v>0</v>
      </c>
      <c r="AT54" s="210"/>
      <c r="AU54" s="210"/>
      <c r="AV54" s="17" t="s">
        <v>227</v>
      </c>
      <c r="AW54" s="215"/>
      <c r="AX54" s="215">
        <v>490203.84</v>
      </c>
      <c r="AY54" s="148">
        <v>392163.07</v>
      </c>
      <c r="AZ54" s="216" t="s">
        <v>441</v>
      </c>
      <c r="BA54" s="148">
        <v>98040.77</v>
      </c>
      <c r="BB54" s="217"/>
      <c r="BC54" s="173"/>
      <c r="BD54" s="172"/>
      <c r="BE54" s="173"/>
      <c r="BF54" s="213"/>
      <c r="BG54" s="173"/>
      <c r="BH54" s="219"/>
      <c r="BI54" s="173"/>
      <c r="BJ54" s="222"/>
      <c r="BK54" s="173"/>
      <c r="BL54" s="222"/>
      <c r="BM54" s="173"/>
      <c r="BN54" s="222"/>
      <c r="BO54" s="173"/>
      <c r="BP54" s="222"/>
      <c r="BQ54" s="173"/>
      <c r="BR54" s="222"/>
      <c r="BS54" s="173"/>
      <c r="BT54" s="222"/>
      <c r="BU54" s="173"/>
      <c r="BV54" s="222"/>
      <c r="BW54" s="171">
        <v>392163.07</v>
      </c>
      <c r="BX54" s="220">
        <v>392163.07</v>
      </c>
      <c r="BY54" s="220">
        <v>392163.07</v>
      </c>
      <c r="BZ54" s="220">
        <v>0</v>
      </c>
      <c r="CA54" s="220">
        <v>392163.07</v>
      </c>
      <c r="CB54" s="221">
        <v>1</v>
      </c>
      <c r="CC54" s="221" t="s">
        <v>421</v>
      </c>
      <c r="CD54" s="220">
        <v>98040.77</v>
      </c>
      <c r="CE54" s="17">
        <v>0</v>
      </c>
      <c r="CF54" s="170"/>
    </row>
    <row r="55" spans="1:84" x14ac:dyDescent="0.25">
      <c r="A55" s="170" t="s">
        <v>60</v>
      </c>
      <c r="B55" s="170" t="s">
        <v>104</v>
      </c>
      <c r="C55" s="170" t="s">
        <v>188</v>
      </c>
      <c r="D55" s="170" t="s">
        <v>719</v>
      </c>
      <c r="E55" s="170" t="s">
        <v>720</v>
      </c>
      <c r="F55" s="170" t="s">
        <v>858</v>
      </c>
      <c r="H55" s="170"/>
      <c r="I55" s="170"/>
      <c r="J55" s="17">
        <v>2</v>
      </c>
      <c r="K55" s="17">
        <v>270</v>
      </c>
      <c r="L55" s="322">
        <v>4338.8999999999996</v>
      </c>
      <c r="M55" s="17">
        <v>52</v>
      </c>
      <c r="N55" s="17">
        <v>6292</v>
      </c>
      <c r="O55" s="322">
        <v>131062.36</v>
      </c>
      <c r="P55" s="17">
        <v>2</v>
      </c>
      <c r="Q55" s="17">
        <v>10</v>
      </c>
      <c r="R55" s="322">
        <v>1770</v>
      </c>
      <c r="S55" s="17">
        <v>13</v>
      </c>
      <c r="T55" s="17">
        <v>65</v>
      </c>
      <c r="U55" s="322">
        <v>11505</v>
      </c>
      <c r="W55" s="322"/>
      <c r="Y55" s="322"/>
      <c r="AA55" s="322"/>
      <c r="AC55" s="322"/>
      <c r="AE55" s="322"/>
      <c r="AF55" s="322"/>
      <c r="AG55" s="322"/>
      <c r="AH55" s="322"/>
      <c r="AI55" s="322"/>
      <c r="AO55" s="322">
        <v>69</v>
      </c>
      <c r="AP55" s="322">
        <v>27600</v>
      </c>
      <c r="AQ55" s="322">
        <v>176276.26</v>
      </c>
      <c r="AR55" s="17">
        <v>1</v>
      </c>
      <c r="AS55" s="17">
        <v>0</v>
      </c>
      <c r="AT55" s="210"/>
      <c r="AU55" s="210"/>
      <c r="AV55" s="17" t="s">
        <v>227</v>
      </c>
      <c r="AW55" s="215"/>
      <c r="AX55" s="215">
        <v>176276.26</v>
      </c>
      <c r="AY55" s="148">
        <v>141021.01</v>
      </c>
      <c r="AZ55" s="216" t="s">
        <v>441</v>
      </c>
      <c r="BA55" s="148">
        <v>35255.25</v>
      </c>
      <c r="BB55" s="217"/>
      <c r="BC55" s="173"/>
      <c r="BD55" s="172"/>
      <c r="BE55" s="173"/>
      <c r="BF55" s="213"/>
      <c r="BG55" s="173"/>
      <c r="BH55" s="219"/>
      <c r="BI55" s="173"/>
      <c r="BJ55" s="222"/>
      <c r="BK55" s="173"/>
      <c r="BL55" s="222"/>
      <c r="BM55" s="173"/>
      <c r="BN55" s="222"/>
      <c r="BO55" s="173"/>
      <c r="BP55" s="222"/>
      <c r="BQ55" s="173"/>
      <c r="BR55" s="222"/>
      <c r="BS55" s="173"/>
      <c r="BT55" s="222"/>
      <c r="BU55" s="173"/>
      <c r="BV55" s="222"/>
      <c r="BW55" s="171">
        <v>141021.01</v>
      </c>
      <c r="BX55" s="220">
        <v>141021.01</v>
      </c>
      <c r="BY55" s="220">
        <v>141021.01</v>
      </c>
      <c r="BZ55" s="220">
        <v>0</v>
      </c>
      <c r="CA55" s="220">
        <v>141021.01</v>
      </c>
      <c r="CB55" s="221">
        <v>1</v>
      </c>
      <c r="CC55" s="221" t="s">
        <v>421</v>
      </c>
      <c r="CD55" s="220">
        <v>35255.25</v>
      </c>
      <c r="CE55" s="17">
        <v>0</v>
      </c>
      <c r="CF55" s="170"/>
    </row>
    <row r="56" spans="1:84" x14ac:dyDescent="0.25">
      <c r="A56" s="170" t="s">
        <v>61</v>
      </c>
      <c r="B56" s="170" t="s">
        <v>105</v>
      </c>
      <c r="C56" s="170" t="s">
        <v>189</v>
      </c>
      <c r="D56" s="170" t="s">
        <v>721</v>
      </c>
      <c r="E56" s="170" t="s">
        <v>722</v>
      </c>
      <c r="F56" s="170" t="s">
        <v>859</v>
      </c>
      <c r="H56" s="170"/>
      <c r="I56" s="170"/>
      <c r="J56" s="17">
        <v>486</v>
      </c>
      <c r="K56" s="17">
        <v>65610</v>
      </c>
      <c r="L56" s="322">
        <v>1054352.7</v>
      </c>
      <c r="M56" s="17">
        <v>59</v>
      </c>
      <c r="N56" s="17">
        <v>7139</v>
      </c>
      <c r="O56" s="322">
        <v>148705.37</v>
      </c>
      <c r="P56" s="17">
        <v>13</v>
      </c>
      <c r="Q56" s="17">
        <v>65</v>
      </c>
      <c r="R56" s="322">
        <v>11505</v>
      </c>
      <c r="S56" s="17">
        <v>19</v>
      </c>
      <c r="T56" s="17">
        <v>95</v>
      </c>
      <c r="U56" s="322">
        <v>16815</v>
      </c>
      <c r="V56" s="17">
        <v>0</v>
      </c>
      <c r="W56" s="322">
        <v>0</v>
      </c>
      <c r="X56" s="17">
        <v>0</v>
      </c>
      <c r="Y56" s="322">
        <v>0</v>
      </c>
      <c r="Z56" s="17">
        <v>0</v>
      </c>
      <c r="AA56" s="322">
        <v>0</v>
      </c>
      <c r="AB56" s="17">
        <v>0</v>
      </c>
      <c r="AC56" s="322">
        <v>0</v>
      </c>
      <c r="AD56" s="17">
        <v>0</v>
      </c>
      <c r="AE56" s="322">
        <v>0</v>
      </c>
      <c r="AF56" s="322">
        <v>1</v>
      </c>
      <c r="AG56" s="322">
        <v>8000</v>
      </c>
      <c r="AH56" s="322">
        <v>20</v>
      </c>
      <c r="AI56" s="322">
        <v>8000</v>
      </c>
      <c r="AO56" s="322">
        <v>577</v>
      </c>
      <c r="AP56" s="322">
        <v>149710</v>
      </c>
      <c r="AQ56" s="322">
        <v>1389088.07</v>
      </c>
      <c r="AR56" s="17">
        <v>1</v>
      </c>
      <c r="AS56" s="17">
        <v>0</v>
      </c>
      <c r="AT56" s="210"/>
      <c r="AU56" s="210"/>
      <c r="AV56" s="17" t="s">
        <v>227</v>
      </c>
      <c r="AW56" s="215"/>
      <c r="AX56" s="215">
        <v>1389088.0699999998</v>
      </c>
      <c r="AY56" s="148">
        <v>1111270.46</v>
      </c>
      <c r="AZ56" s="216" t="s">
        <v>441</v>
      </c>
      <c r="BA56" s="148">
        <v>277817.61</v>
      </c>
      <c r="BB56" s="217"/>
      <c r="BC56" s="173"/>
      <c r="BD56" s="172"/>
      <c r="BE56" s="218"/>
      <c r="BF56" s="172"/>
      <c r="BG56" s="218"/>
      <c r="BH56" s="219"/>
      <c r="BI56" s="173"/>
      <c r="BJ56" s="222"/>
      <c r="BK56" s="173"/>
      <c r="BL56" s="222"/>
      <c r="BM56" s="173"/>
      <c r="BN56" s="222"/>
      <c r="BO56" s="173"/>
      <c r="BP56" s="222"/>
      <c r="BQ56" s="173"/>
      <c r="BR56" s="222"/>
      <c r="BS56" s="173"/>
      <c r="BT56" s="222"/>
      <c r="BU56" s="173"/>
      <c r="BV56" s="222"/>
      <c r="BW56" s="171">
        <v>1111270.46</v>
      </c>
      <c r="BX56" s="220">
        <v>1111270.46</v>
      </c>
      <c r="BY56" s="220">
        <v>1111270.46</v>
      </c>
      <c r="BZ56" s="220">
        <v>0</v>
      </c>
      <c r="CA56" s="220">
        <v>1111270.46</v>
      </c>
      <c r="CB56" s="221">
        <v>1</v>
      </c>
      <c r="CC56" s="221" t="s">
        <v>421</v>
      </c>
      <c r="CD56" s="220">
        <v>277817.61</v>
      </c>
      <c r="CE56" s="17">
        <v>0</v>
      </c>
      <c r="CF56" s="170"/>
    </row>
    <row r="57" spans="1:84" x14ac:dyDescent="0.25">
      <c r="A57" s="170" t="s">
        <v>62</v>
      </c>
      <c r="B57" s="170" t="s">
        <v>106</v>
      </c>
      <c r="C57" s="170" t="s">
        <v>190</v>
      </c>
      <c r="D57" s="170" t="s">
        <v>723</v>
      </c>
      <c r="E57" s="170" t="s">
        <v>724</v>
      </c>
      <c r="F57" s="170" t="s">
        <v>860</v>
      </c>
      <c r="H57" s="170"/>
      <c r="I57" s="170"/>
      <c r="J57" s="17">
        <v>154</v>
      </c>
      <c r="K57" s="17">
        <v>20790</v>
      </c>
      <c r="L57" s="322">
        <v>334095.3</v>
      </c>
      <c r="M57" s="17">
        <v>180</v>
      </c>
      <c r="N57" s="17">
        <v>21780</v>
      </c>
      <c r="O57" s="322">
        <v>453677.4</v>
      </c>
      <c r="P57" s="17">
        <v>20</v>
      </c>
      <c r="Q57" s="17">
        <v>100</v>
      </c>
      <c r="R57" s="322">
        <v>17700</v>
      </c>
      <c r="S57" s="17">
        <v>58</v>
      </c>
      <c r="T57" s="17">
        <v>290</v>
      </c>
      <c r="U57" s="322">
        <v>51330</v>
      </c>
      <c r="V57" s="17">
        <v>3</v>
      </c>
      <c r="W57" s="322">
        <v>18000</v>
      </c>
      <c r="X57" s="17">
        <v>0</v>
      </c>
      <c r="Y57" s="322">
        <v>0</v>
      </c>
      <c r="Z57" s="17">
        <v>0</v>
      </c>
      <c r="AA57" s="322">
        <v>0</v>
      </c>
      <c r="AB57" s="17">
        <v>0</v>
      </c>
      <c r="AC57" s="322">
        <v>0</v>
      </c>
      <c r="AD57" s="17">
        <v>0</v>
      </c>
      <c r="AE57" s="322">
        <v>0</v>
      </c>
      <c r="AF57" s="322">
        <v>0</v>
      </c>
      <c r="AG57" s="322">
        <v>0</v>
      </c>
      <c r="AH57" s="322">
        <v>45</v>
      </c>
      <c r="AI57" s="322">
        <v>18000</v>
      </c>
      <c r="AO57" s="322">
        <v>412</v>
      </c>
      <c r="AP57" s="322">
        <v>111760</v>
      </c>
      <c r="AQ57" s="322">
        <v>986562.7</v>
      </c>
      <c r="AR57" s="17">
        <v>1</v>
      </c>
      <c r="AS57" s="17">
        <v>0</v>
      </c>
      <c r="AT57" s="210"/>
      <c r="AU57" s="210"/>
      <c r="AV57" s="17" t="s">
        <v>227</v>
      </c>
      <c r="AW57" s="215"/>
      <c r="AX57" s="215">
        <v>986562.70000000007</v>
      </c>
      <c r="AY57" s="148">
        <v>789250.16</v>
      </c>
      <c r="AZ57" s="216" t="s">
        <v>441</v>
      </c>
      <c r="BA57" s="148">
        <v>197312.54</v>
      </c>
      <c r="BB57" s="217"/>
      <c r="BC57" s="218"/>
      <c r="BD57" s="172"/>
      <c r="BE57" s="218"/>
      <c r="BF57" s="172"/>
      <c r="BG57" s="218"/>
      <c r="BH57" s="219"/>
      <c r="BI57" s="173"/>
      <c r="BJ57" s="222"/>
      <c r="BK57" s="173"/>
      <c r="BL57" s="222"/>
      <c r="BM57" s="173"/>
      <c r="BN57" s="222"/>
      <c r="BO57" s="173"/>
      <c r="BP57" s="222"/>
      <c r="BQ57" s="173"/>
      <c r="BR57" s="222"/>
      <c r="BS57" s="173"/>
      <c r="BT57" s="222"/>
      <c r="BU57" s="173"/>
      <c r="BV57" s="222"/>
      <c r="BW57" s="171">
        <v>789250.16</v>
      </c>
      <c r="BX57" s="220">
        <v>789250.16</v>
      </c>
      <c r="BY57" s="220">
        <v>789250.16</v>
      </c>
      <c r="BZ57" s="220">
        <v>0</v>
      </c>
      <c r="CA57" s="220">
        <v>789250.16</v>
      </c>
      <c r="CB57" s="221">
        <v>1</v>
      </c>
      <c r="CC57" s="221" t="s">
        <v>421</v>
      </c>
      <c r="CD57" s="220">
        <v>197312.54</v>
      </c>
      <c r="CE57" s="17">
        <v>0</v>
      </c>
      <c r="CF57" s="170"/>
    </row>
    <row r="58" spans="1:84" x14ac:dyDescent="0.25">
      <c r="A58" s="170" t="s">
        <v>63</v>
      </c>
      <c r="B58" s="170" t="s">
        <v>107</v>
      </c>
      <c r="C58" s="170" t="s">
        <v>191</v>
      </c>
      <c r="D58" s="170" t="s">
        <v>725</v>
      </c>
      <c r="E58" s="170" t="s">
        <v>726</v>
      </c>
      <c r="F58" s="170" t="s">
        <v>861</v>
      </c>
      <c r="H58" s="170"/>
      <c r="I58" s="170"/>
      <c r="J58" s="17">
        <v>59</v>
      </c>
      <c r="K58" s="17">
        <v>7965</v>
      </c>
      <c r="L58" s="322">
        <v>127997.55</v>
      </c>
      <c r="M58" s="17">
        <v>31</v>
      </c>
      <c r="N58" s="17">
        <v>3751</v>
      </c>
      <c r="O58" s="322">
        <v>78133.33</v>
      </c>
      <c r="P58" s="17">
        <v>10</v>
      </c>
      <c r="Q58" s="17">
        <v>50</v>
      </c>
      <c r="R58" s="322">
        <v>8850</v>
      </c>
      <c r="S58" s="17">
        <v>10</v>
      </c>
      <c r="T58" s="17">
        <v>50</v>
      </c>
      <c r="U58" s="322">
        <v>8850</v>
      </c>
      <c r="V58" s="17">
        <v>0</v>
      </c>
      <c r="W58" s="322">
        <v>0</v>
      </c>
      <c r="X58" s="17">
        <v>0</v>
      </c>
      <c r="Y58" s="322">
        <v>0</v>
      </c>
      <c r="Z58" s="17">
        <v>0</v>
      </c>
      <c r="AA58" s="322">
        <v>0</v>
      </c>
      <c r="AB58" s="17">
        <v>0</v>
      </c>
      <c r="AC58" s="322">
        <v>0</v>
      </c>
      <c r="AD58" s="17">
        <v>0</v>
      </c>
      <c r="AE58" s="322">
        <v>0</v>
      </c>
      <c r="AF58" s="322">
        <v>2</v>
      </c>
      <c r="AG58" s="322">
        <v>16000</v>
      </c>
      <c r="AH58" s="322">
        <v>40</v>
      </c>
      <c r="AI58" s="322">
        <v>16000</v>
      </c>
      <c r="AO58" s="322">
        <v>110</v>
      </c>
      <c r="AP58" s="322">
        <v>42300</v>
      </c>
      <c r="AQ58" s="322">
        <v>282130.88</v>
      </c>
      <c r="AR58" s="17">
        <v>1</v>
      </c>
      <c r="AS58" s="17">
        <v>0</v>
      </c>
      <c r="AT58" s="210"/>
      <c r="AU58" s="210"/>
      <c r="AV58" s="17" t="s">
        <v>227</v>
      </c>
      <c r="AW58" s="215"/>
      <c r="AX58" s="215">
        <v>282130.88</v>
      </c>
      <c r="AY58" s="148">
        <v>225704.7</v>
      </c>
      <c r="AZ58" s="216" t="s">
        <v>441</v>
      </c>
      <c r="BA58" s="148">
        <v>56426.18</v>
      </c>
      <c r="BB58" s="217"/>
      <c r="BC58" s="173"/>
      <c r="BD58" s="172"/>
      <c r="BE58" s="173"/>
      <c r="BF58" s="213"/>
      <c r="BG58" s="173"/>
      <c r="BH58" s="219"/>
      <c r="BI58" s="173"/>
      <c r="BJ58" s="222"/>
      <c r="BK58" s="173"/>
      <c r="BL58" s="222"/>
      <c r="BM58" s="173"/>
      <c r="BN58" s="222"/>
      <c r="BO58" s="173"/>
      <c r="BP58" s="222"/>
      <c r="BQ58" s="173"/>
      <c r="BR58" s="222"/>
      <c r="BS58" s="173"/>
      <c r="BT58" s="222"/>
      <c r="BU58" s="173"/>
      <c r="BV58" s="222"/>
      <c r="BW58" s="171">
        <v>225704.7</v>
      </c>
      <c r="BX58" s="220">
        <v>225704.7</v>
      </c>
      <c r="BY58" s="220">
        <v>225704.7</v>
      </c>
      <c r="BZ58" s="220">
        <v>0</v>
      </c>
      <c r="CA58" s="220">
        <v>225704.7</v>
      </c>
      <c r="CB58" s="221">
        <v>1</v>
      </c>
      <c r="CC58" s="221" t="s">
        <v>421</v>
      </c>
      <c r="CD58" s="220">
        <v>56426.18</v>
      </c>
      <c r="CE58" s="17">
        <v>0</v>
      </c>
      <c r="CF58" s="170"/>
    </row>
    <row r="59" spans="1:84" x14ac:dyDescent="0.25">
      <c r="A59" s="170" t="s">
        <v>64</v>
      </c>
      <c r="B59" s="170" t="s">
        <v>127</v>
      </c>
      <c r="C59" s="170" t="s">
        <v>192</v>
      </c>
      <c r="D59" s="170" t="s">
        <v>727</v>
      </c>
      <c r="E59" s="170" t="s">
        <v>728</v>
      </c>
      <c r="F59" s="170" t="s">
        <v>862</v>
      </c>
      <c r="H59" s="170"/>
      <c r="I59" s="170"/>
      <c r="J59" s="17">
        <v>52</v>
      </c>
      <c r="K59" s="17">
        <v>7020</v>
      </c>
      <c r="L59" s="322">
        <v>112811.4</v>
      </c>
      <c r="M59" s="17">
        <v>0</v>
      </c>
      <c r="N59" s="17">
        <v>0</v>
      </c>
      <c r="O59" s="322">
        <v>0</v>
      </c>
      <c r="P59" s="17">
        <v>61</v>
      </c>
      <c r="Q59" s="17">
        <v>305</v>
      </c>
      <c r="R59" s="322">
        <v>53985</v>
      </c>
      <c r="S59" s="17">
        <v>11</v>
      </c>
      <c r="T59" s="17">
        <v>55</v>
      </c>
      <c r="U59" s="322">
        <v>9735</v>
      </c>
      <c r="V59" s="17">
        <v>0</v>
      </c>
      <c r="W59" s="322">
        <v>0</v>
      </c>
      <c r="X59" s="17">
        <v>0</v>
      </c>
      <c r="Y59" s="322">
        <v>0</v>
      </c>
      <c r="Z59" s="17">
        <v>0</v>
      </c>
      <c r="AA59" s="322">
        <v>0</v>
      </c>
      <c r="AB59" s="17">
        <v>0</v>
      </c>
      <c r="AC59" s="322">
        <v>0</v>
      </c>
      <c r="AD59" s="17">
        <v>0</v>
      </c>
      <c r="AE59" s="322">
        <v>0</v>
      </c>
      <c r="AF59" s="322">
        <v>2</v>
      </c>
      <c r="AG59" s="322">
        <v>16000</v>
      </c>
      <c r="AH59" s="322">
        <v>40</v>
      </c>
      <c r="AI59" s="322">
        <v>16000</v>
      </c>
      <c r="AO59" s="322">
        <v>124</v>
      </c>
      <c r="AP59" s="322">
        <v>45520</v>
      </c>
      <c r="AQ59" s="322">
        <v>238051.4</v>
      </c>
      <c r="AR59" s="17">
        <v>1</v>
      </c>
      <c r="AS59" s="17">
        <v>0</v>
      </c>
      <c r="AT59" s="210"/>
      <c r="AU59" s="210"/>
      <c r="AV59" s="17" t="s">
        <v>227</v>
      </c>
      <c r="AW59" s="215"/>
      <c r="AX59" s="215">
        <v>238051.4</v>
      </c>
      <c r="AY59" s="148">
        <v>190441.12</v>
      </c>
      <c r="AZ59" s="216" t="s">
        <v>441</v>
      </c>
      <c r="BA59" s="148">
        <v>47610.28</v>
      </c>
      <c r="BB59" s="217"/>
      <c r="BC59" s="173"/>
      <c r="BD59" s="172"/>
      <c r="BE59" s="173"/>
      <c r="BF59" s="213"/>
      <c r="BG59" s="173"/>
      <c r="BH59" s="219"/>
      <c r="BI59" s="173"/>
      <c r="BJ59" s="222"/>
      <c r="BK59" s="173"/>
      <c r="BL59" s="222"/>
      <c r="BM59" s="173"/>
      <c r="BN59" s="222"/>
      <c r="BO59" s="173"/>
      <c r="BP59" s="222"/>
      <c r="BQ59" s="173"/>
      <c r="BR59" s="222"/>
      <c r="BS59" s="173"/>
      <c r="BT59" s="222"/>
      <c r="BU59" s="173"/>
      <c r="BV59" s="222"/>
      <c r="BW59" s="171">
        <v>190441.12</v>
      </c>
      <c r="BX59" s="220">
        <v>190441.12</v>
      </c>
      <c r="BY59" s="220">
        <v>190441.12</v>
      </c>
      <c r="BZ59" s="220">
        <v>0</v>
      </c>
      <c r="CA59" s="220">
        <v>190441.12</v>
      </c>
      <c r="CB59" s="221">
        <v>1</v>
      </c>
      <c r="CC59" s="221" t="s">
        <v>421</v>
      </c>
      <c r="CD59" s="220">
        <v>47610.28</v>
      </c>
      <c r="CE59" s="17">
        <v>0</v>
      </c>
      <c r="CF59" s="170"/>
    </row>
    <row r="60" spans="1:84" x14ac:dyDescent="0.25">
      <c r="A60" s="170" t="s">
        <v>65</v>
      </c>
      <c r="B60" s="170" t="s">
        <v>209</v>
      </c>
      <c r="C60" s="170" t="s">
        <v>193</v>
      </c>
      <c r="D60" s="170" t="s">
        <v>729</v>
      </c>
      <c r="E60" s="170" t="s">
        <v>730</v>
      </c>
      <c r="F60" s="170" t="s">
        <v>863</v>
      </c>
      <c r="H60" s="170"/>
      <c r="I60" s="170"/>
      <c r="J60" s="17">
        <v>0</v>
      </c>
      <c r="K60" s="17">
        <v>0</v>
      </c>
      <c r="L60" s="322">
        <v>0</v>
      </c>
      <c r="M60" s="17">
        <v>0</v>
      </c>
      <c r="N60" s="17">
        <v>0</v>
      </c>
      <c r="O60" s="322">
        <v>0</v>
      </c>
      <c r="P60" s="17">
        <v>7</v>
      </c>
      <c r="Q60" s="17">
        <v>35</v>
      </c>
      <c r="R60" s="322">
        <v>6195</v>
      </c>
      <c r="S60" s="17">
        <v>15</v>
      </c>
      <c r="T60" s="17">
        <v>75</v>
      </c>
      <c r="U60" s="322">
        <v>13275</v>
      </c>
      <c r="W60" s="322"/>
      <c r="Y60" s="322"/>
      <c r="AA60" s="322"/>
      <c r="AC60" s="322"/>
      <c r="AE60" s="322"/>
      <c r="AF60" s="322"/>
      <c r="AG60" s="322"/>
      <c r="AH60" s="322"/>
      <c r="AI60" s="322"/>
      <c r="AO60" s="322">
        <v>22</v>
      </c>
      <c r="AP60" s="322">
        <v>8800</v>
      </c>
      <c r="AQ60" s="322">
        <v>28270</v>
      </c>
      <c r="AR60" s="17">
        <v>1</v>
      </c>
      <c r="AS60" s="17">
        <v>0</v>
      </c>
      <c r="AT60" s="210"/>
      <c r="AU60" s="210"/>
      <c r="AV60" s="17" t="s">
        <v>227</v>
      </c>
      <c r="AW60" s="215"/>
      <c r="AX60" s="215">
        <v>28270</v>
      </c>
      <c r="AY60" s="148">
        <v>22616</v>
      </c>
      <c r="AZ60" s="216" t="s">
        <v>441</v>
      </c>
      <c r="BA60" s="148">
        <v>5654</v>
      </c>
      <c r="BB60" s="217"/>
      <c r="BC60" s="173"/>
      <c r="BD60" s="172"/>
      <c r="BE60" s="173"/>
      <c r="BF60" s="213"/>
      <c r="BG60" s="173"/>
      <c r="BH60" s="219"/>
      <c r="BI60" s="173"/>
      <c r="BJ60" s="222"/>
      <c r="BK60" s="173"/>
      <c r="BL60" s="222"/>
      <c r="BM60" s="173"/>
      <c r="BN60" s="222"/>
      <c r="BO60" s="173"/>
      <c r="BP60" s="222"/>
      <c r="BQ60" s="173"/>
      <c r="BR60" s="222"/>
      <c r="BS60" s="173"/>
      <c r="BT60" s="222"/>
      <c r="BU60" s="173"/>
      <c r="BV60" s="222"/>
      <c r="BW60" s="171">
        <v>22616</v>
      </c>
      <c r="BX60" s="220">
        <v>22616</v>
      </c>
      <c r="BY60" s="220">
        <v>22616</v>
      </c>
      <c r="BZ60" s="220">
        <v>0</v>
      </c>
      <c r="CA60" s="220">
        <v>22616</v>
      </c>
      <c r="CB60" s="221">
        <v>1</v>
      </c>
      <c r="CC60" s="221" t="s">
        <v>421</v>
      </c>
      <c r="CD60" s="220">
        <v>5654</v>
      </c>
      <c r="CE60" s="17">
        <v>0</v>
      </c>
      <c r="CF60" s="170"/>
    </row>
    <row r="61" spans="1:84" x14ac:dyDescent="0.25">
      <c r="A61" s="170" t="s">
        <v>66</v>
      </c>
      <c r="B61" s="170" t="s">
        <v>216</v>
      </c>
      <c r="C61" s="170" t="s">
        <v>194</v>
      </c>
      <c r="D61" s="170" t="s">
        <v>731</v>
      </c>
      <c r="E61" s="170" t="s">
        <v>732</v>
      </c>
      <c r="F61" s="170" t="s">
        <v>864</v>
      </c>
      <c r="H61" s="170"/>
      <c r="I61" s="170"/>
      <c r="J61" s="17">
        <v>18</v>
      </c>
      <c r="K61" s="17">
        <v>2430</v>
      </c>
      <c r="L61" s="322">
        <v>39050.1</v>
      </c>
      <c r="M61" s="17">
        <v>6</v>
      </c>
      <c r="N61" s="17">
        <v>726</v>
      </c>
      <c r="O61" s="322">
        <v>15122.58</v>
      </c>
      <c r="P61" s="17">
        <v>9</v>
      </c>
      <c r="Q61" s="17">
        <v>45</v>
      </c>
      <c r="R61" s="322">
        <v>7965</v>
      </c>
      <c r="S61" s="17">
        <v>12</v>
      </c>
      <c r="T61" s="17">
        <v>60</v>
      </c>
      <c r="U61" s="322">
        <v>10620</v>
      </c>
      <c r="W61" s="322"/>
      <c r="Y61" s="322"/>
      <c r="AA61" s="322"/>
      <c r="AC61" s="322"/>
      <c r="AE61" s="322"/>
      <c r="AF61" s="322"/>
      <c r="AG61" s="322"/>
      <c r="AH61" s="322"/>
      <c r="AI61" s="322"/>
      <c r="AO61" s="322">
        <v>45</v>
      </c>
      <c r="AP61" s="322">
        <v>18000</v>
      </c>
      <c r="AQ61" s="322">
        <v>90757.68</v>
      </c>
      <c r="AR61" s="17">
        <v>1</v>
      </c>
      <c r="AS61" s="17">
        <v>0</v>
      </c>
      <c r="AT61" s="210"/>
      <c r="AU61" s="210"/>
      <c r="AV61" s="17" t="s">
        <v>227</v>
      </c>
      <c r="AW61" s="215"/>
      <c r="AX61" s="215">
        <v>90757.68</v>
      </c>
      <c r="AY61" s="148">
        <v>72606.14</v>
      </c>
      <c r="AZ61" s="216" t="s">
        <v>441</v>
      </c>
      <c r="BA61" s="148">
        <v>18151.54</v>
      </c>
      <c r="BB61" s="217"/>
      <c r="BC61" s="173"/>
      <c r="BD61" s="172"/>
      <c r="BE61" s="173"/>
      <c r="BF61" s="213"/>
      <c r="BG61" s="173"/>
      <c r="BH61" s="219"/>
      <c r="BI61" s="173"/>
      <c r="BJ61" s="222"/>
      <c r="BK61" s="173"/>
      <c r="BL61" s="222"/>
      <c r="BM61" s="173"/>
      <c r="BN61" s="222"/>
      <c r="BO61" s="173"/>
      <c r="BP61" s="222"/>
      <c r="BQ61" s="173"/>
      <c r="BR61" s="222"/>
      <c r="BS61" s="173"/>
      <c r="BT61" s="222"/>
      <c r="BU61" s="173"/>
      <c r="BV61" s="222"/>
      <c r="BW61" s="171">
        <v>72606.14</v>
      </c>
      <c r="BX61" s="220">
        <v>72606.14</v>
      </c>
      <c r="BY61" s="220">
        <v>72606.14</v>
      </c>
      <c r="BZ61" s="220">
        <v>0</v>
      </c>
      <c r="CA61" s="220">
        <v>72606.14</v>
      </c>
      <c r="CB61" s="221">
        <v>1</v>
      </c>
      <c r="CC61" s="221" t="s">
        <v>421</v>
      </c>
      <c r="CD61" s="220">
        <v>18151.54</v>
      </c>
      <c r="CE61" s="17">
        <v>0</v>
      </c>
      <c r="CF61" s="170"/>
    </row>
    <row r="62" spans="1:84" x14ac:dyDescent="0.25">
      <c r="A62" s="170" t="s">
        <v>67</v>
      </c>
      <c r="B62" s="170" t="s">
        <v>210</v>
      </c>
      <c r="C62" s="170" t="s">
        <v>195</v>
      </c>
      <c r="D62" s="170" t="s">
        <v>733</v>
      </c>
      <c r="E62" s="170" t="s">
        <v>734</v>
      </c>
      <c r="F62" s="170" t="s">
        <v>865</v>
      </c>
      <c r="H62" s="170"/>
      <c r="I62" s="170"/>
      <c r="J62" s="17">
        <v>0</v>
      </c>
      <c r="K62" s="17">
        <v>0</v>
      </c>
      <c r="L62" s="322">
        <v>0</v>
      </c>
      <c r="M62" s="17">
        <v>0</v>
      </c>
      <c r="N62" s="17">
        <v>0</v>
      </c>
      <c r="O62" s="322">
        <v>0</v>
      </c>
      <c r="P62" s="17">
        <v>5</v>
      </c>
      <c r="Q62" s="17">
        <v>25</v>
      </c>
      <c r="R62" s="322">
        <v>4425</v>
      </c>
      <c r="S62" s="17">
        <v>9</v>
      </c>
      <c r="T62" s="17">
        <v>45</v>
      </c>
      <c r="U62" s="322">
        <v>7965</v>
      </c>
      <c r="W62" s="322"/>
      <c r="Y62" s="322"/>
      <c r="AA62" s="322"/>
      <c r="AC62" s="322"/>
      <c r="AE62" s="322"/>
      <c r="AF62" s="322"/>
      <c r="AG62" s="322"/>
      <c r="AH62" s="322"/>
      <c r="AI62" s="322"/>
      <c r="AO62" s="322">
        <v>14</v>
      </c>
      <c r="AP62" s="322">
        <v>5600</v>
      </c>
      <c r="AQ62" s="322">
        <v>17990</v>
      </c>
      <c r="AR62" s="17">
        <v>1</v>
      </c>
      <c r="AS62" s="17">
        <v>0</v>
      </c>
      <c r="AT62" s="210"/>
      <c r="AU62" s="210"/>
      <c r="AV62" s="17" t="s">
        <v>227</v>
      </c>
      <c r="AW62" s="215"/>
      <c r="AX62" s="215">
        <v>17990</v>
      </c>
      <c r="AY62" s="148">
        <v>14392</v>
      </c>
      <c r="AZ62" s="216" t="s">
        <v>441</v>
      </c>
      <c r="BA62" s="148">
        <v>3598</v>
      </c>
      <c r="BB62" s="217"/>
      <c r="BC62" s="173"/>
      <c r="BD62" s="172"/>
      <c r="BE62" s="173"/>
      <c r="BF62" s="213"/>
      <c r="BG62" s="173"/>
      <c r="BH62" s="219"/>
      <c r="BI62" s="173"/>
      <c r="BJ62" s="222"/>
      <c r="BK62" s="173"/>
      <c r="BL62" s="222"/>
      <c r="BM62" s="173"/>
      <c r="BN62" s="222"/>
      <c r="BO62" s="173"/>
      <c r="BP62" s="222"/>
      <c r="BQ62" s="173"/>
      <c r="BR62" s="222"/>
      <c r="BS62" s="173"/>
      <c r="BT62" s="222"/>
      <c r="BU62" s="173"/>
      <c r="BV62" s="222"/>
      <c r="BW62" s="171">
        <v>14392</v>
      </c>
      <c r="BX62" s="220">
        <v>14392</v>
      </c>
      <c r="BY62" s="220">
        <v>14392</v>
      </c>
      <c r="BZ62" s="220">
        <v>0</v>
      </c>
      <c r="CA62" s="220">
        <v>14392</v>
      </c>
      <c r="CB62" s="221">
        <v>1</v>
      </c>
      <c r="CC62" s="221" t="s">
        <v>421</v>
      </c>
      <c r="CD62" s="220">
        <v>3598</v>
      </c>
      <c r="CE62" s="17">
        <v>0</v>
      </c>
      <c r="CF62" s="170"/>
    </row>
    <row r="63" spans="1:84" x14ac:dyDescent="0.25">
      <c r="A63" s="170" t="s">
        <v>392</v>
      </c>
      <c r="B63" s="170" t="s">
        <v>210</v>
      </c>
      <c r="C63" s="170" t="s">
        <v>195</v>
      </c>
      <c r="D63" s="170" t="s">
        <v>735</v>
      </c>
      <c r="E63" s="170" t="s">
        <v>736</v>
      </c>
      <c r="F63" s="170" t="s">
        <v>865</v>
      </c>
      <c r="H63" s="170"/>
      <c r="I63" s="170"/>
      <c r="J63" s="17">
        <v>245</v>
      </c>
      <c r="K63" s="17">
        <v>33075</v>
      </c>
      <c r="L63" s="322">
        <v>531515.25</v>
      </c>
      <c r="M63" s="17">
        <v>93</v>
      </c>
      <c r="N63" s="17">
        <v>11253</v>
      </c>
      <c r="O63" s="322">
        <v>234399.99</v>
      </c>
      <c r="P63" s="17">
        <v>0</v>
      </c>
      <c r="Q63" s="17">
        <v>0</v>
      </c>
      <c r="R63" s="322">
        <v>0</v>
      </c>
      <c r="S63" s="17">
        <v>0</v>
      </c>
      <c r="T63" s="17">
        <v>0</v>
      </c>
      <c r="U63" s="322">
        <v>0</v>
      </c>
      <c r="W63" s="322"/>
      <c r="Y63" s="322"/>
      <c r="AA63" s="322"/>
      <c r="AC63" s="322"/>
      <c r="AE63" s="322"/>
      <c r="AF63" s="322"/>
      <c r="AG63" s="322"/>
      <c r="AH63" s="322"/>
      <c r="AI63" s="322"/>
      <c r="AJ63" s="17">
        <v>3</v>
      </c>
      <c r="AK63" s="17">
        <v>35722.93</v>
      </c>
      <c r="AL63" s="17">
        <v>1</v>
      </c>
      <c r="AM63" s="17">
        <v>300</v>
      </c>
      <c r="AO63" s="322">
        <v>338</v>
      </c>
      <c r="AP63" s="322">
        <v>94740</v>
      </c>
      <c r="AQ63" s="322">
        <v>896678.16999999993</v>
      </c>
      <c r="AR63" s="17">
        <v>3</v>
      </c>
      <c r="AS63" s="17">
        <v>0</v>
      </c>
      <c r="AT63" s="210"/>
      <c r="AU63" s="210"/>
      <c r="AV63" s="17" t="s">
        <v>227</v>
      </c>
      <c r="AW63" s="215"/>
      <c r="AX63" s="215">
        <v>896678.16999999993</v>
      </c>
      <c r="AY63" s="148">
        <v>688524.19</v>
      </c>
      <c r="AZ63" s="216" t="s">
        <v>441</v>
      </c>
      <c r="BA63" s="148">
        <v>25044</v>
      </c>
      <c r="BB63" s="217" t="s">
        <v>886</v>
      </c>
      <c r="BC63" s="148">
        <v>10987.93</v>
      </c>
      <c r="BD63" s="217" t="s">
        <v>886</v>
      </c>
      <c r="BE63" s="148">
        <v>172122.05</v>
      </c>
      <c r="BF63" s="216"/>
      <c r="BG63" s="173"/>
      <c r="BH63" s="219"/>
      <c r="BI63" s="173"/>
      <c r="BJ63" s="222"/>
      <c r="BK63" s="173"/>
      <c r="BL63" s="222"/>
      <c r="BM63" s="173"/>
      <c r="BN63" s="222"/>
      <c r="BO63" s="173"/>
      <c r="BP63" s="222"/>
      <c r="BQ63" s="173"/>
      <c r="BR63" s="222"/>
      <c r="BS63" s="173"/>
      <c r="BT63" s="222"/>
      <c r="BU63" s="173"/>
      <c r="BV63" s="222"/>
      <c r="BW63" s="171">
        <v>724556.12</v>
      </c>
      <c r="BX63" s="220">
        <v>724556.12</v>
      </c>
      <c r="BY63" s="220">
        <v>724556.12</v>
      </c>
      <c r="BZ63" s="220">
        <v>36031.93</v>
      </c>
      <c r="CA63" s="220">
        <v>688524.19</v>
      </c>
      <c r="CB63" s="221">
        <v>3</v>
      </c>
      <c r="CC63" s="221" t="s">
        <v>424</v>
      </c>
      <c r="CD63" s="220">
        <v>172122.05</v>
      </c>
      <c r="CE63" s="17">
        <v>0</v>
      </c>
      <c r="CF63" s="170"/>
    </row>
    <row r="64" spans="1:84" x14ac:dyDescent="0.25">
      <c r="A64" s="170" t="s">
        <v>68</v>
      </c>
      <c r="B64" s="170" t="s">
        <v>11</v>
      </c>
      <c r="C64" s="170" t="s">
        <v>196</v>
      </c>
      <c r="D64" s="170" t="s">
        <v>737</v>
      </c>
      <c r="E64" s="170" t="s">
        <v>738</v>
      </c>
      <c r="F64" s="170" t="s">
        <v>866</v>
      </c>
      <c r="H64" s="170" t="s">
        <v>867</v>
      </c>
      <c r="I64" s="170"/>
      <c r="J64" s="17">
        <v>116</v>
      </c>
      <c r="K64" s="17">
        <v>15660</v>
      </c>
      <c r="L64" s="322">
        <v>251656.2</v>
      </c>
      <c r="M64" s="17">
        <v>116</v>
      </c>
      <c r="N64" s="17">
        <v>14036</v>
      </c>
      <c r="O64" s="322">
        <v>292369.88</v>
      </c>
      <c r="P64" s="17">
        <v>54</v>
      </c>
      <c r="Q64" s="17">
        <v>270</v>
      </c>
      <c r="R64" s="322">
        <v>47790</v>
      </c>
      <c r="S64" s="17">
        <v>54</v>
      </c>
      <c r="T64" s="17">
        <v>270</v>
      </c>
      <c r="U64" s="322">
        <v>47790</v>
      </c>
      <c r="V64" s="17">
        <v>0</v>
      </c>
      <c r="W64" s="322">
        <v>0</v>
      </c>
      <c r="X64" s="17">
        <v>0</v>
      </c>
      <c r="Y64" s="322">
        <v>0</v>
      </c>
      <c r="Z64" s="17">
        <v>0</v>
      </c>
      <c r="AA64" s="322">
        <v>0</v>
      </c>
      <c r="AB64" s="17">
        <v>0</v>
      </c>
      <c r="AC64" s="322">
        <v>0</v>
      </c>
      <c r="AD64" s="17">
        <v>0</v>
      </c>
      <c r="AE64" s="322">
        <v>0</v>
      </c>
      <c r="AF64" s="322">
        <v>4</v>
      </c>
      <c r="AG64" s="322">
        <v>32000</v>
      </c>
      <c r="AH64" s="322">
        <v>80</v>
      </c>
      <c r="AI64" s="322">
        <v>32000</v>
      </c>
      <c r="AO64" s="322">
        <v>340</v>
      </c>
      <c r="AP64" s="322">
        <v>95200</v>
      </c>
      <c r="AQ64" s="322">
        <v>766806.08</v>
      </c>
      <c r="AR64" s="17">
        <v>1</v>
      </c>
      <c r="AS64" s="17">
        <v>0</v>
      </c>
      <c r="AT64" s="210"/>
      <c r="AU64" s="210"/>
      <c r="AV64" s="17" t="s">
        <v>227</v>
      </c>
      <c r="AW64" s="215"/>
      <c r="AX64" s="215">
        <v>766806.08</v>
      </c>
      <c r="AY64" s="148">
        <v>613444.86</v>
      </c>
      <c r="AZ64" s="216" t="s">
        <v>441</v>
      </c>
      <c r="BA64" s="148">
        <v>153361.22</v>
      </c>
      <c r="BB64" s="217"/>
      <c r="BC64" s="173"/>
      <c r="BD64" s="172"/>
      <c r="BE64" s="173"/>
      <c r="BF64" s="213"/>
      <c r="BG64" s="173"/>
      <c r="BH64" s="219"/>
      <c r="BI64" s="173"/>
      <c r="BJ64" s="222"/>
      <c r="BK64" s="173"/>
      <c r="BL64" s="222"/>
      <c r="BM64" s="173"/>
      <c r="BN64" s="222"/>
      <c r="BO64" s="173"/>
      <c r="BP64" s="222"/>
      <c r="BQ64" s="173"/>
      <c r="BR64" s="222"/>
      <c r="BS64" s="173"/>
      <c r="BT64" s="222"/>
      <c r="BU64" s="173"/>
      <c r="BV64" s="222"/>
      <c r="BW64" s="171">
        <v>613444.86</v>
      </c>
      <c r="BX64" s="220">
        <v>613444.86</v>
      </c>
      <c r="BY64" s="220">
        <v>613444.86</v>
      </c>
      <c r="BZ64" s="220">
        <v>0</v>
      </c>
      <c r="CA64" s="220">
        <v>613444.86</v>
      </c>
      <c r="CB64" s="221">
        <v>1</v>
      </c>
      <c r="CC64" s="221" t="s">
        <v>421</v>
      </c>
      <c r="CD64" s="220">
        <v>153361.22</v>
      </c>
      <c r="CE64" s="17">
        <v>0</v>
      </c>
      <c r="CF64" s="170"/>
    </row>
    <row r="65" spans="1:84" x14ac:dyDescent="0.25">
      <c r="A65" s="170" t="s">
        <v>69</v>
      </c>
      <c r="B65" s="170" t="s">
        <v>233</v>
      </c>
      <c r="C65" s="170" t="s">
        <v>197</v>
      </c>
      <c r="D65" s="170" t="s">
        <v>739</v>
      </c>
      <c r="E65" s="170" t="s">
        <v>740</v>
      </c>
      <c r="F65" s="170" t="s">
        <v>868</v>
      </c>
      <c r="H65" s="170"/>
      <c r="I65" s="170"/>
      <c r="J65" s="17">
        <v>237</v>
      </c>
      <c r="K65" s="17">
        <v>31995</v>
      </c>
      <c r="L65" s="322">
        <v>514159.65</v>
      </c>
      <c r="M65" s="17">
        <v>49</v>
      </c>
      <c r="N65" s="17">
        <v>5929</v>
      </c>
      <c r="O65" s="322">
        <v>123501.07</v>
      </c>
      <c r="P65" s="17">
        <v>7</v>
      </c>
      <c r="Q65" s="17">
        <v>35</v>
      </c>
      <c r="R65" s="322">
        <v>6195</v>
      </c>
      <c r="S65" s="17">
        <v>5</v>
      </c>
      <c r="T65" s="17">
        <v>25</v>
      </c>
      <c r="U65" s="322">
        <v>4425</v>
      </c>
      <c r="W65" s="322"/>
      <c r="Y65" s="322"/>
      <c r="AA65" s="322"/>
      <c r="AC65" s="322"/>
      <c r="AE65" s="322"/>
      <c r="AF65" s="322"/>
      <c r="AG65" s="322"/>
      <c r="AH65" s="322"/>
      <c r="AI65" s="322"/>
      <c r="AO65" s="322">
        <v>298</v>
      </c>
      <c r="AP65" s="322">
        <v>85540</v>
      </c>
      <c r="AQ65" s="322">
        <v>733820.72</v>
      </c>
      <c r="AR65" s="17">
        <v>1</v>
      </c>
      <c r="AS65" s="17">
        <v>0</v>
      </c>
      <c r="AT65" s="210"/>
      <c r="AU65" s="210"/>
      <c r="AV65" s="17" t="s">
        <v>227</v>
      </c>
      <c r="AW65" s="215"/>
      <c r="AX65" s="215">
        <v>733820.72</v>
      </c>
      <c r="AY65" s="148">
        <v>587056.57999999996</v>
      </c>
      <c r="AZ65" s="216" t="s">
        <v>441</v>
      </c>
      <c r="BA65" s="148">
        <v>146764.14000000001</v>
      </c>
      <c r="BB65" s="217"/>
      <c r="BC65" s="173"/>
      <c r="BD65" s="172"/>
      <c r="BE65" s="173"/>
      <c r="BF65" s="213"/>
      <c r="BG65" s="173"/>
      <c r="BH65" s="219"/>
      <c r="BI65" s="173"/>
      <c r="BJ65" s="222"/>
      <c r="BK65" s="173"/>
      <c r="BL65" s="222"/>
      <c r="BM65" s="173"/>
      <c r="BN65" s="222"/>
      <c r="BO65" s="173"/>
      <c r="BP65" s="222"/>
      <c r="BQ65" s="173"/>
      <c r="BR65" s="222"/>
      <c r="BS65" s="173"/>
      <c r="BT65" s="222"/>
      <c r="BU65" s="173"/>
      <c r="BV65" s="222"/>
      <c r="BW65" s="171">
        <v>587056.57999999996</v>
      </c>
      <c r="BX65" s="220">
        <v>587056.57999999996</v>
      </c>
      <c r="BY65" s="220">
        <v>587056.57999999996</v>
      </c>
      <c r="BZ65" s="220">
        <v>0</v>
      </c>
      <c r="CA65" s="220">
        <v>587056.57999999996</v>
      </c>
      <c r="CB65" s="221">
        <v>1</v>
      </c>
      <c r="CC65" s="221" t="s">
        <v>421</v>
      </c>
      <c r="CD65" s="220">
        <v>146764.14000000001</v>
      </c>
      <c r="CE65" s="17">
        <v>0</v>
      </c>
      <c r="CF65" s="170"/>
    </row>
    <row r="66" spans="1:84" x14ac:dyDescent="0.25">
      <c r="A66" s="170" t="s">
        <v>70</v>
      </c>
      <c r="B66" s="170" t="s">
        <v>108</v>
      </c>
      <c r="C66" s="170" t="s">
        <v>198</v>
      </c>
      <c r="D66" s="170" t="s">
        <v>741</v>
      </c>
      <c r="E66" s="170" t="s">
        <v>742</v>
      </c>
      <c r="F66" s="170" t="s">
        <v>869</v>
      </c>
      <c r="H66" s="170"/>
      <c r="I66" s="170"/>
      <c r="J66" s="17">
        <v>96</v>
      </c>
      <c r="K66" s="17">
        <v>12960</v>
      </c>
      <c r="L66" s="322">
        <v>208267.2</v>
      </c>
      <c r="M66" s="17">
        <v>12</v>
      </c>
      <c r="N66" s="17">
        <v>1452</v>
      </c>
      <c r="O66" s="322">
        <v>30245.16</v>
      </c>
      <c r="P66" s="17">
        <v>20</v>
      </c>
      <c r="Q66" s="17">
        <v>100</v>
      </c>
      <c r="R66" s="322">
        <v>17700</v>
      </c>
      <c r="S66" s="17">
        <v>8</v>
      </c>
      <c r="T66" s="17">
        <v>40</v>
      </c>
      <c r="U66" s="322">
        <v>7080</v>
      </c>
      <c r="V66" s="17">
        <v>0</v>
      </c>
      <c r="W66" s="322">
        <v>0</v>
      </c>
      <c r="X66" s="17">
        <v>0</v>
      </c>
      <c r="Y66" s="322">
        <v>0</v>
      </c>
      <c r="Z66" s="17">
        <v>0</v>
      </c>
      <c r="AA66" s="322">
        <v>0</v>
      </c>
      <c r="AB66" s="17">
        <v>0</v>
      </c>
      <c r="AC66" s="322">
        <v>0</v>
      </c>
      <c r="AD66" s="17">
        <v>0</v>
      </c>
      <c r="AE66" s="322">
        <v>0</v>
      </c>
      <c r="AF66" s="322">
        <v>5</v>
      </c>
      <c r="AG66" s="322">
        <v>40000</v>
      </c>
      <c r="AH66" s="322">
        <v>100</v>
      </c>
      <c r="AI66" s="322">
        <v>40000</v>
      </c>
      <c r="AO66" s="322">
        <v>136</v>
      </c>
      <c r="AP66" s="322">
        <v>48280</v>
      </c>
      <c r="AQ66" s="322">
        <v>351572.36</v>
      </c>
      <c r="AR66" s="17">
        <v>1</v>
      </c>
      <c r="AS66" s="17">
        <v>0</v>
      </c>
      <c r="AT66" s="210"/>
      <c r="AU66" s="210"/>
      <c r="AV66" s="17" t="s">
        <v>227</v>
      </c>
      <c r="AW66" s="215"/>
      <c r="AX66" s="215">
        <v>351572.36</v>
      </c>
      <c r="AY66" s="148">
        <v>281257.89</v>
      </c>
      <c r="AZ66" s="216" t="s">
        <v>441</v>
      </c>
      <c r="BA66" s="148">
        <v>70314.47</v>
      </c>
      <c r="BB66" s="217"/>
      <c r="BC66" s="173"/>
      <c r="BD66" s="172"/>
      <c r="BE66" s="173"/>
      <c r="BF66" s="213"/>
      <c r="BG66" s="173"/>
      <c r="BH66" s="219"/>
      <c r="BI66" s="173"/>
      <c r="BJ66" s="222"/>
      <c r="BK66" s="173"/>
      <c r="BL66" s="222"/>
      <c r="BM66" s="173"/>
      <c r="BN66" s="222"/>
      <c r="BO66" s="173"/>
      <c r="BP66" s="222"/>
      <c r="BQ66" s="173"/>
      <c r="BR66" s="222"/>
      <c r="BS66" s="173"/>
      <c r="BT66" s="222"/>
      <c r="BU66" s="173"/>
      <c r="BV66" s="222"/>
      <c r="BW66" s="171">
        <v>281257.89</v>
      </c>
      <c r="BX66" s="220">
        <v>281257.89</v>
      </c>
      <c r="BY66" s="220">
        <v>281257.89</v>
      </c>
      <c r="BZ66" s="220">
        <v>0</v>
      </c>
      <c r="CA66" s="220">
        <v>281257.89</v>
      </c>
      <c r="CB66" s="221">
        <v>1</v>
      </c>
      <c r="CC66" s="221" t="s">
        <v>421</v>
      </c>
      <c r="CD66" s="220">
        <v>70314.47</v>
      </c>
      <c r="CE66" s="17">
        <v>0</v>
      </c>
      <c r="CF66" s="170"/>
    </row>
    <row r="67" spans="1:84" x14ac:dyDescent="0.25">
      <c r="A67" s="170" t="s">
        <v>71</v>
      </c>
      <c r="B67" s="170" t="s">
        <v>118</v>
      </c>
      <c r="C67" s="170" t="s">
        <v>199</v>
      </c>
      <c r="D67" s="170" t="s">
        <v>743</v>
      </c>
      <c r="E67" s="170" t="s">
        <v>744</v>
      </c>
      <c r="F67" s="170" t="s">
        <v>870</v>
      </c>
      <c r="H67" s="170"/>
      <c r="I67" s="170"/>
      <c r="J67" s="17">
        <v>21</v>
      </c>
      <c r="K67" s="17">
        <v>2835</v>
      </c>
      <c r="L67" s="322">
        <v>45558.45</v>
      </c>
      <c r="M67" s="17">
        <v>6</v>
      </c>
      <c r="N67" s="17">
        <v>726</v>
      </c>
      <c r="O67" s="322">
        <v>15122.58</v>
      </c>
      <c r="P67" s="17">
        <v>12</v>
      </c>
      <c r="Q67" s="17">
        <v>60</v>
      </c>
      <c r="R67" s="322">
        <v>10620</v>
      </c>
      <c r="S67" s="17">
        <v>2</v>
      </c>
      <c r="T67" s="17">
        <v>10</v>
      </c>
      <c r="U67" s="322">
        <v>1770</v>
      </c>
      <c r="W67" s="322"/>
      <c r="Y67" s="322"/>
      <c r="AA67" s="322"/>
      <c r="AC67" s="322"/>
      <c r="AE67" s="322"/>
      <c r="AF67" s="322"/>
      <c r="AG67" s="322"/>
      <c r="AH67" s="322"/>
      <c r="AI67" s="322"/>
      <c r="AO67" s="322">
        <v>41</v>
      </c>
      <c r="AP67" s="322">
        <v>16400</v>
      </c>
      <c r="AQ67" s="322">
        <v>89471.03</v>
      </c>
      <c r="AR67" s="17">
        <v>1</v>
      </c>
      <c r="AS67" s="17">
        <v>0</v>
      </c>
      <c r="AT67" s="210"/>
      <c r="AU67" s="210"/>
      <c r="AV67" s="17" t="s">
        <v>227</v>
      </c>
      <c r="AW67" s="215"/>
      <c r="AX67" s="215">
        <v>89471.03</v>
      </c>
      <c r="AY67" s="148">
        <v>71576.820000000007</v>
      </c>
      <c r="AZ67" s="216" t="s">
        <v>441</v>
      </c>
      <c r="BA67" s="148">
        <v>17894.21</v>
      </c>
      <c r="BB67" s="217"/>
      <c r="BC67" s="173"/>
      <c r="BD67" s="172"/>
      <c r="BE67" s="218"/>
      <c r="BF67" s="172"/>
      <c r="BG67" s="173"/>
      <c r="BH67" s="219"/>
      <c r="BI67" s="173"/>
      <c r="BJ67" s="222"/>
      <c r="BK67" s="173"/>
      <c r="BL67" s="222"/>
      <c r="BM67" s="173"/>
      <c r="BN67" s="222"/>
      <c r="BO67" s="173"/>
      <c r="BP67" s="222"/>
      <c r="BQ67" s="173"/>
      <c r="BR67" s="222"/>
      <c r="BS67" s="173"/>
      <c r="BT67" s="222"/>
      <c r="BU67" s="173"/>
      <c r="BV67" s="222"/>
      <c r="BW67" s="171">
        <v>71576.820000000007</v>
      </c>
      <c r="BX67" s="220">
        <v>71576.820000000007</v>
      </c>
      <c r="BY67" s="220">
        <v>71576.820000000007</v>
      </c>
      <c r="BZ67" s="220">
        <v>0</v>
      </c>
      <c r="CA67" s="220">
        <v>71576.820000000007</v>
      </c>
      <c r="CB67" s="221">
        <v>1</v>
      </c>
      <c r="CC67" s="221" t="s">
        <v>421</v>
      </c>
      <c r="CD67" s="220">
        <v>17894.21</v>
      </c>
      <c r="CE67" s="17">
        <v>0</v>
      </c>
      <c r="CF67" s="170"/>
    </row>
    <row r="68" spans="1:84" x14ac:dyDescent="0.25">
      <c r="A68" s="170" t="s">
        <v>72</v>
      </c>
      <c r="B68" s="170" t="s">
        <v>109</v>
      </c>
      <c r="C68" s="170" t="s">
        <v>200</v>
      </c>
      <c r="D68" s="170" t="s">
        <v>745</v>
      </c>
      <c r="E68" s="170" t="s">
        <v>746</v>
      </c>
      <c r="F68" s="170" t="s">
        <v>871</v>
      </c>
      <c r="H68" s="170" t="s">
        <v>872</v>
      </c>
      <c r="I68" s="170"/>
      <c r="J68" s="17">
        <v>107</v>
      </c>
      <c r="K68" s="17">
        <v>14445</v>
      </c>
      <c r="L68" s="322">
        <v>232131.15</v>
      </c>
      <c r="M68" s="17">
        <v>145</v>
      </c>
      <c r="N68" s="17">
        <v>17545</v>
      </c>
      <c r="O68" s="322">
        <v>365462.35</v>
      </c>
      <c r="P68" s="17">
        <v>13</v>
      </c>
      <c r="Q68" s="17">
        <v>65</v>
      </c>
      <c r="R68" s="322">
        <v>11505</v>
      </c>
      <c r="S68" s="17">
        <v>17</v>
      </c>
      <c r="T68" s="17">
        <v>85</v>
      </c>
      <c r="U68" s="322">
        <v>15045</v>
      </c>
      <c r="V68" s="17">
        <v>0</v>
      </c>
      <c r="W68" s="322">
        <v>0</v>
      </c>
      <c r="X68" s="17">
        <v>0</v>
      </c>
      <c r="Y68" s="322">
        <v>0</v>
      </c>
      <c r="Z68" s="17">
        <v>0</v>
      </c>
      <c r="AA68" s="322">
        <v>0</v>
      </c>
      <c r="AB68" s="17">
        <v>0</v>
      </c>
      <c r="AC68" s="322">
        <v>0</v>
      </c>
      <c r="AD68" s="17">
        <v>0</v>
      </c>
      <c r="AE68" s="322">
        <v>0</v>
      </c>
      <c r="AF68" s="322">
        <v>1</v>
      </c>
      <c r="AG68" s="322">
        <v>8000</v>
      </c>
      <c r="AH68" s="322">
        <v>20</v>
      </c>
      <c r="AI68" s="322">
        <v>8000</v>
      </c>
      <c r="AO68" s="322">
        <v>282</v>
      </c>
      <c r="AP68" s="322">
        <v>81860</v>
      </c>
      <c r="AQ68" s="322">
        <v>714003.5</v>
      </c>
      <c r="AR68" s="17">
        <v>1</v>
      </c>
      <c r="AS68" s="17">
        <v>0</v>
      </c>
      <c r="AT68" s="210"/>
      <c r="AU68" s="210"/>
      <c r="AV68" s="17" t="s">
        <v>227</v>
      </c>
      <c r="AW68" s="215"/>
      <c r="AX68" s="215">
        <v>714003.5</v>
      </c>
      <c r="AY68" s="148">
        <v>571202.80000000005</v>
      </c>
      <c r="AZ68" s="216" t="s">
        <v>441</v>
      </c>
      <c r="BA68" s="148">
        <v>142800.70000000001</v>
      </c>
      <c r="BB68" s="217"/>
      <c r="BC68" s="173"/>
      <c r="BD68" s="473"/>
      <c r="BE68" s="173"/>
      <c r="BF68" s="213"/>
      <c r="BG68" s="173"/>
      <c r="BH68" s="219"/>
      <c r="BI68" s="173"/>
      <c r="BJ68" s="222"/>
      <c r="BK68" s="173"/>
      <c r="BL68" s="222"/>
      <c r="BM68" s="173"/>
      <c r="BN68" s="222"/>
      <c r="BO68" s="173"/>
      <c r="BP68" s="222"/>
      <c r="BQ68" s="173"/>
      <c r="BR68" s="222"/>
      <c r="BS68" s="173"/>
      <c r="BT68" s="222"/>
      <c r="BU68" s="173"/>
      <c r="BV68" s="222"/>
      <c r="BW68" s="171">
        <v>571202.80000000005</v>
      </c>
      <c r="BX68" s="220">
        <v>571202.80000000005</v>
      </c>
      <c r="BY68" s="220">
        <v>571202.80000000005</v>
      </c>
      <c r="BZ68" s="220">
        <v>0</v>
      </c>
      <c r="CA68" s="220">
        <v>571202.80000000005</v>
      </c>
      <c r="CB68" s="221">
        <v>1</v>
      </c>
      <c r="CC68" s="221" t="s">
        <v>421</v>
      </c>
      <c r="CD68" s="220">
        <v>142800.70000000001</v>
      </c>
      <c r="CE68" s="17">
        <v>0</v>
      </c>
      <c r="CF68" s="170"/>
    </row>
    <row r="69" spans="1:84" x14ac:dyDescent="0.25">
      <c r="A69" s="170" t="s">
        <v>73</v>
      </c>
      <c r="B69" s="170" t="s">
        <v>110</v>
      </c>
      <c r="C69" s="170" t="s">
        <v>201</v>
      </c>
      <c r="D69" s="170" t="s">
        <v>747</v>
      </c>
      <c r="E69" s="170" t="s">
        <v>748</v>
      </c>
      <c r="F69" s="170" t="s">
        <v>873</v>
      </c>
      <c r="H69" s="170"/>
      <c r="I69" s="170"/>
      <c r="J69" s="17">
        <v>104</v>
      </c>
      <c r="K69" s="17">
        <v>14040</v>
      </c>
      <c r="L69" s="322">
        <v>225622.8</v>
      </c>
      <c r="M69" s="17">
        <v>105</v>
      </c>
      <c r="N69" s="17">
        <v>12705</v>
      </c>
      <c r="O69" s="322">
        <v>264645.15000000002</v>
      </c>
      <c r="P69" s="17">
        <v>5</v>
      </c>
      <c r="Q69" s="17">
        <v>25</v>
      </c>
      <c r="R69" s="322">
        <v>4425</v>
      </c>
      <c r="S69" s="17">
        <v>10</v>
      </c>
      <c r="T69" s="17">
        <v>50</v>
      </c>
      <c r="U69" s="322">
        <v>8850</v>
      </c>
      <c r="W69" s="322"/>
      <c r="Y69" s="322"/>
      <c r="AA69" s="322"/>
      <c r="AC69" s="322"/>
      <c r="AE69" s="322"/>
      <c r="AF69" s="322"/>
      <c r="AG69" s="322"/>
      <c r="AH69" s="322"/>
      <c r="AI69" s="322"/>
      <c r="AO69" s="322">
        <v>224</v>
      </c>
      <c r="AP69" s="322">
        <v>68520</v>
      </c>
      <c r="AQ69" s="322">
        <v>572062.94999999995</v>
      </c>
      <c r="AR69" s="17">
        <v>1</v>
      </c>
      <c r="AS69" s="17">
        <v>0</v>
      </c>
      <c r="AT69" s="210"/>
      <c r="AU69" s="210"/>
      <c r="AV69" s="17" t="s">
        <v>227</v>
      </c>
      <c r="AW69" s="215"/>
      <c r="AX69" s="215">
        <v>572062.94999999995</v>
      </c>
      <c r="AY69" s="148">
        <v>457650.36</v>
      </c>
      <c r="AZ69" s="216" t="s">
        <v>441</v>
      </c>
      <c r="BA69" s="148">
        <v>114412.59</v>
      </c>
      <c r="BB69" s="217"/>
      <c r="BC69" s="173"/>
      <c r="BD69" s="172"/>
      <c r="BE69" s="173"/>
      <c r="BF69" s="213"/>
      <c r="BG69" s="173"/>
      <c r="BH69" s="219"/>
      <c r="BI69" s="173"/>
      <c r="BJ69" s="222"/>
      <c r="BK69" s="173"/>
      <c r="BL69" s="222"/>
      <c r="BM69" s="173"/>
      <c r="BN69" s="222"/>
      <c r="BO69" s="173"/>
      <c r="BP69" s="222"/>
      <c r="BQ69" s="173"/>
      <c r="BR69" s="222"/>
      <c r="BS69" s="173"/>
      <c r="BT69" s="222"/>
      <c r="BU69" s="173"/>
      <c r="BV69" s="222"/>
      <c r="BW69" s="171">
        <v>457650.36</v>
      </c>
      <c r="BX69" s="220">
        <v>457650.36</v>
      </c>
      <c r="BY69" s="220">
        <v>457650.36</v>
      </c>
      <c r="BZ69" s="220">
        <v>0</v>
      </c>
      <c r="CA69" s="220">
        <v>457650.36</v>
      </c>
      <c r="CB69" s="221">
        <v>1</v>
      </c>
      <c r="CC69" s="221" t="s">
        <v>421</v>
      </c>
      <c r="CD69" s="220">
        <v>114412.59</v>
      </c>
      <c r="CE69" s="17">
        <v>0</v>
      </c>
      <c r="CF69" s="170"/>
    </row>
    <row r="70" spans="1:84" x14ac:dyDescent="0.25">
      <c r="A70" s="170" t="s">
        <v>74</v>
      </c>
      <c r="B70" s="170" t="s">
        <v>111</v>
      </c>
      <c r="C70" s="170" t="s">
        <v>202</v>
      </c>
      <c r="D70" s="170" t="s">
        <v>749</v>
      </c>
      <c r="E70" s="170" t="s">
        <v>750</v>
      </c>
      <c r="F70" s="170" t="s">
        <v>874</v>
      </c>
      <c r="H70" s="170"/>
      <c r="I70" s="170"/>
      <c r="J70" s="17">
        <v>6</v>
      </c>
      <c r="K70" s="17">
        <v>810</v>
      </c>
      <c r="L70" s="322">
        <v>13016.7</v>
      </c>
      <c r="M70" s="17">
        <v>6</v>
      </c>
      <c r="N70" s="17">
        <v>726</v>
      </c>
      <c r="O70" s="322">
        <v>15122.58</v>
      </c>
      <c r="P70" s="17">
        <v>1</v>
      </c>
      <c r="Q70" s="17">
        <v>5</v>
      </c>
      <c r="R70" s="322">
        <v>885</v>
      </c>
      <c r="S70" s="17">
        <v>3</v>
      </c>
      <c r="T70" s="17">
        <v>15</v>
      </c>
      <c r="U70" s="322">
        <v>2655</v>
      </c>
      <c r="W70" s="322"/>
      <c r="Y70" s="322"/>
      <c r="AA70" s="322"/>
      <c r="AC70" s="322"/>
      <c r="AE70" s="322"/>
      <c r="AF70" s="322"/>
      <c r="AG70" s="322"/>
      <c r="AH70" s="322"/>
      <c r="AI70" s="322"/>
      <c r="AO70" s="322">
        <v>16</v>
      </c>
      <c r="AP70" s="322">
        <v>6400</v>
      </c>
      <c r="AQ70" s="322">
        <v>38079.279999999999</v>
      </c>
      <c r="AR70" s="17">
        <v>1</v>
      </c>
      <c r="AS70" s="17">
        <v>0</v>
      </c>
      <c r="AT70" s="210"/>
      <c r="AU70" s="210"/>
      <c r="AV70" s="17" t="s">
        <v>227</v>
      </c>
      <c r="AW70" s="215"/>
      <c r="AX70" s="215">
        <v>38079.279999999999</v>
      </c>
      <c r="AY70" s="148">
        <v>30463.42</v>
      </c>
      <c r="AZ70" s="216" t="s">
        <v>441</v>
      </c>
      <c r="BA70" s="148">
        <v>7615.86</v>
      </c>
      <c r="BB70" s="217"/>
      <c r="BC70" s="173"/>
      <c r="BD70" s="172"/>
      <c r="BE70" s="173"/>
      <c r="BF70" s="213"/>
      <c r="BG70" s="173"/>
      <c r="BH70" s="219"/>
      <c r="BI70" s="173"/>
      <c r="BJ70" s="222"/>
      <c r="BK70" s="173"/>
      <c r="BL70" s="222"/>
      <c r="BM70" s="173"/>
      <c r="BN70" s="222"/>
      <c r="BO70" s="173"/>
      <c r="BP70" s="222"/>
      <c r="BQ70" s="173"/>
      <c r="BR70" s="222"/>
      <c r="BS70" s="173"/>
      <c r="BT70" s="222"/>
      <c r="BU70" s="173"/>
      <c r="BV70" s="222"/>
      <c r="BW70" s="171">
        <v>30463.42</v>
      </c>
      <c r="BX70" s="220">
        <v>30463.42</v>
      </c>
      <c r="BY70" s="220">
        <v>30463.42</v>
      </c>
      <c r="BZ70" s="220">
        <v>0</v>
      </c>
      <c r="CA70" s="220">
        <v>30463.42</v>
      </c>
      <c r="CB70" s="221">
        <v>1</v>
      </c>
      <c r="CC70" s="221" t="s">
        <v>421</v>
      </c>
      <c r="CD70" s="220">
        <v>7615.86</v>
      </c>
      <c r="CE70" s="17">
        <v>0</v>
      </c>
      <c r="CF70" s="170"/>
    </row>
    <row r="71" spans="1:84" x14ac:dyDescent="0.25">
      <c r="A71" s="170" t="s">
        <v>75</v>
      </c>
      <c r="B71" s="170" t="s">
        <v>128</v>
      </c>
      <c r="C71" s="170" t="s">
        <v>203</v>
      </c>
      <c r="D71" s="170" t="s">
        <v>751</v>
      </c>
      <c r="E71" s="170" t="s">
        <v>752</v>
      </c>
      <c r="F71" s="170" t="s">
        <v>875</v>
      </c>
      <c r="H71" s="170"/>
      <c r="I71" s="170"/>
      <c r="J71" s="17">
        <v>12</v>
      </c>
      <c r="K71" s="17">
        <v>1620</v>
      </c>
      <c r="L71" s="322">
        <v>26033.4</v>
      </c>
      <c r="M71" s="17">
        <v>3</v>
      </c>
      <c r="N71" s="17">
        <v>363</v>
      </c>
      <c r="O71" s="322">
        <v>7561.29</v>
      </c>
      <c r="P71" s="17">
        <v>2</v>
      </c>
      <c r="Q71" s="17">
        <v>10</v>
      </c>
      <c r="R71" s="322">
        <v>1770</v>
      </c>
      <c r="S71" s="17">
        <v>0</v>
      </c>
      <c r="T71" s="17">
        <v>0</v>
      </c>
      <c r="U71" s="322">
        <v>0</v>
      </c>
      <c r="V71" s="17">
        <v>1</v>
      </c>
      <c r="W71" s="322">
        <v>6000</v>
      </c>
      <c r="X71" s="17">
        <v>0</v>
      </c>
      <c r="Y71" s="322">
        <v>0</v>
      </c>
      <c r="Z71" s="17">
        <v>0</v>
      </c>
      <c r="AA71" s="322">
        <v>0</v>
      </c>
      <c r="AB71" s="17">
        <v>0</v>
      </c>
      <c r="AC71" s="322">
        <v>0</v>
      </c>
      <c r="AD71" s="17">
        <v>0</v>
      </c>
      <c r="AE71" s="322">
        <v>0</v>
      </c>
      <c r="AF71" s="322">
        <v>0</v>
      </c>
      <c r="AG71" s="322">
        <v>0</v>
      </c>
      <c r="AH71" s="322">
        <v>15</v>
      </c>
      <c r="AI71" s="322">
        <v>6000</v>
      </c>
      <c r="AO71" s="322">
        <v>17</v>
      </c>
      <c r="AP71" s="322">
        <v>6800</v>
      </c>
      <c r="AQ71" s="322">
        <v>48164.69</v>
      </c>
      <c r="AR71" s="17">
        <v>1</v>
      </c>
      <c r="AS71" s="17">
        <v>0</v>
      </c>
      <c r="AT71" s="210"/>
      <c r="AU71" s="210"/>
      <c r="AV71" s="17" t="s">
        <v>227</v>
      </c>
      <c r="AW71" s="215"/>
      <c r="AX71" s="215">
        <v>48164.69</v>
      </c>
      <c r="AY71" s="148">
        <v>38531.75</v>
      </c>
      <c r="AZ71" s="216" t="s">
        <v>441</v>
      </c>
      <c r="BA71" s="148">
        <v>9632.94</v>
      </c>
      <c r="BB71" s="217"/>
      <c r="BC71" s="173"/>
      <c r="BD71" s="172"/>
      <c r="BE71" s="173"/>
      <c r="BF71" s="213"/>
      <c r="BG71" s="173"/>
      <c r="BH71" s="219"/>
      <c r="BI71" s="173"/>
      <c r="BJ71" s="222"/>
      <c r="BK71" s="173"/>
      <c r="BL71" s="222"/>
      <c r="BM71" s="173"/>
      <c r="BN71" s="222"/>
      <c r="BO71" s="173"/>
      <c r="BP71" s="222"/>
      <c r="BQ71" s="173"/>
      <c r="BR71" s="222"/>
      <c r="BS71" s="173"/>
      <c r="BT71" s="222"/>
      <c r="BU71" s="173"/>
      <c r="BV71" s="222"/>
      <c r="BW71" s="171">
        <v>38531.75</v>
      </c>
      <c r="BX71" s="220">
        <v>38531.75</v>
      </c>
      <c r="BY71" s="220">
        <v>38531.75</v>
      </c>
      <c r="BZ71" s="220">
        <v>0</v>
      </c>
      <c r="CA71" s="220">
        <v>38531.75</v>
      </c>
      <c r="CB71" s="221">
        <v>1</v>
      </c>
      <c r="CC71" s="221" t="s">
        <v>421</v>
      </c>
      <c r="CD71" s="220">
        <v>9632.94</v>
      </c>
      <c r="CE71" s="17">
        <v>0</v>
      </c>
      <c r="CF71" s="170"/>
    </row>
    <row r="72" spans="1:84" x14ac:dyDescent="0.25">
      <c r="A72" s="170" t="s">
        <v>76</v>
      </c>
      <c r="B72" s="170" t="s">
        <v>12</v>
      </c>
      <c r="C72" s="170" t="s">
        <v>204</v>
      </c>
      <c r="D72" s="170" t="s">
        <v>753</v>
      </c>
      <c r="E72" s="170" t="s">
        <v>754</v>
      </c>
      <c r="F72" s="170" t="s">
        <v>876</v>
      </c>
      <c r="H72" s="170"/>
      <c r="I72" s="170"/>
      <c r="J72" s="17">
        <v>0</v>
      </c>
      <c r="K72" s="17">
        <v>0</v>
      </c>
      <c r="L72" s="322">
        <v>0</v>
      </c>
      <c r="M72" s="17">
        <v>6</v>
      </c>
      <c r="N72" s="17">
        <v>726</v>
      </c>
      <c r="O72" s="322">
        <v>15122.58</v>
      </c>
      <c r="P72" s="17">
        <v>2</v>
      </c>
      <c r="Q72" s="17">
        <v>10</v>
      </c>
      <c r="R72" s="322">
        <v>1770</v>
      </c>
      <c r="S72" s="17">
        <v>2</v>
      </c>
      <c r="T72" s="17">
        <v>10</v>
      </c>
      <c r="U72" s="322">
        <v>1770</v>
      </c>
      <c r="W72" s="322"/>
      <c r="Y72" s="322"/>
      <c r="AA72" s="322"/>
      <c r="AC72" s="322"/>
      <c r="AE72" s="322"/>
      <c r="AF72" s="322"/>
      <c r="AG72" s="322"/>
      <c r="AH72" s="322"/>
      <c r="AI72" s="322"/>
      <c r="AO72" s="322">
        <v>10</v>
      </c>
      <c r="AP72" s="322">
        <v>4000</v>
      </c>
      <c r="AQ72" s="322">
        <v>22662.58</v>
      </c>
      <c r="AR72" s="17">
        <v>1</v>
      </c>
      <c r="AS72" s="17">
        <v>0</v>
      </c>
      <c r="AT72" s="210"/>
      <c r="AU72" s="210"/>
      <c r="AV72" s="17" t="s">
        <v>227</v>
      </c>
      <c r="AW72" s="215"/>
      <c r="AX72" s="215">
        <v>22662.58</v>
      </c>
      <c r="AY72" s="148">
        <v>18130.060000000001</v>
      </c>
      <c r="AZ72" s="216" t="s">
        <v>441</v>
      </c>
      <c r="BA72" s="148">
        <v>4532.5200000000004</v>
      </c>
      <c r="BB72" s="217"/>
      <c r="BC72" s="173"/>
      <c r="BD72" s="172"/>
      <c r="BE72" s="173"/>
      <c r="BF72" s="213"/>
      <c r="BG72" s="173"/>
      <c r="BH72" s="219"/>
      <c r="BI72" s="173"/>
      <c r="BJ72" s="222"/>
      <c r="BK72" s="173"/>
      <c r="BL72" s="222"/>
      <c r="BM72" s="173"/>
      <c r="BN72" s="222"/>
      <c r="BO72" s="173"/>
      <c r="BP72" s="222"/>
      <c r="BQ72" s="173"/>
      <c r="BR72" s="222"/>
      <c r="BS72" s="173"/>
      <c r="BT72" s="222"/>
      <c r="BU72" s="173"/>
      <c r="BV72" s="222"/>
      <c r="BW72" s="171">
        <v>18130.060000000001</v>
      </c>
      <c r="BX72" s="220">
        <v>18130.060000000001</v>
      </c>
      <c r="BY72" s="220">
        <v>18130.060000000001</v>
      </c>
      <c r="BZ72" s="220">
        <v>0</v>
      </c>
      <c r="CA72" s="220">
        <v>18130.060000000001</v>
      </c>
      <c r="CB72" s="221">
        <v>1</v>
      </c>
      <c r="CC72" s="221" t="s">
        <v>421</v>
      </c>
      <c r="CD72" s="220">
        <v>4532.5200000000004</v>
      </c>
      <c r="CE72" s="17">
        <v>0</v>
      </c>
      <c r="CF72" s="170"/>
    </row>
    <row r="73" spans="1:84" x14ac:dyDescent="0.25">
      <c r="A73" s="170" t="s">
        <v>120</v>
      </c>
      <c r="B73" s="170" t="s">
        <v>234</v>
      </c>
      <c r="C73" s="170" t="s">
        <v>205</v>
      </c>
      <c r="D73" s="170" t="s">
        <v>755</v>
      </c>
      <c r="E73" s="170" t="s">
        <v>756</v>
      </c>
      <c r="F73" s="170" t="s">
        <v>877</v>
      </c>
      <c r="H73" s="170"/>
      <c r="I73" s="170"/>
      <c r="J73" s="17">
        <v>6</v>
      </c>
      <c r="K73" s="17">
        <v>810</v>
      </c>
      <c r="L73" s="322">
        <v>13016.7</v>
      </c>
      <c r="M73" s="17">
        <v>2</v>
      </c>
      <c r="N73" s="17">
        <v>242</v>
      </c>
      <c r="O73" s="322">
        <v>5040.8599999999997</v>
      </c>
      <c r="P73" s="17">
        <v>3</v>
      </c>
      <c r="Q73" s="17">
        <v>15</v>
      </c>
      <c r="R73" s="322">
        <v>2655</v>
      </c>
      <c r="S73" s="17">
        <v>3</v>
      </c>
      <c r="T73" s="17">
        <v>15</v>
      </c>
      <c r="U73" s="322">
        <v>2655</v>
      </c>
      <c r="W73" s="322"/>
      <c r="Y73" s="322"/>
      <c r="AA73" s="322"/>
      <c r="AC73" s="322"/>
      <c r="AE73" s="322"/>
      <c r="AF73" s="322"/>
      <c r="AG73" s="322"/>
      <c r="AH73" s="322"/>
      <c r="AI73" s="322"/>
      <c r="AO73" s="322">
        <v>14</v>
      </c>
      <c r="AP73" s="322">
        <v>5600</v>
      </c>
      <c r="AQ73" s="322">
        <v>28967.56</v>
      </c>
      <c r="AR73" s="17">
        <v>1</v>
      </c>
      <c r="AS73" s="17">
        <v>0</v>
      </c>
      <c r="AT73" s="210"/>
      <c r="AU73" s="210"/>
      <c r="AV73" s="17" t="s">
        <v>227</v>
      </c>
      <c r="AW73" s="215"/>
      <c r="AX73" s="215">
        <v>28967.559999999998</v>
      </c>
      <c r="AY73" s="148">
        <v>23174.05</v>
      </c>
      <c r="AZ73" s="216" t="s">
        <v>441</v>
      </c>
      <c r="BA73" s="148">
        <v>5793.51</v>
      </c>
      <c r="BB73" s="217"/>
      <c r="BC73" s="218"/>
      <c r="BD73" s="172"/>
      <c r="BE73" s="173"/>
      <c r="BF73" s="213"/>
      <c r="BG73" s="173"/>
      <c r="BH73" s="219"/>
      <c r="BI73" s="173"/>
      <c r="BJ73" s="222"/>
      <c r="BK73" s="173"/>
      <c r="BL73" s="222"/>
      <c r="BM73" s="173"/>
      <c r="BN73" s="222"/>
      <c r="BO73" s="173"/>
      <c r="BP73" s="222"/>
      <c r="BQ73" s="173"/>
      <c r="BR73" s="222"/>
      <c r="BS73" s="173"/>
      <c r="BT73" s="222"/>
      <c r="BU73" s="173"/>
      <c r="BV73" s="222"/>
      <c r="BW73" s="171">
        <v>23174.05</v>
      </c>
      <c r="BX73" s="220">
        <v>23174.05</v>
      </c>
      <c r="BY73" s="220">
        <v>23174.05</v>
      </c>
      <c r="BZ73" s="220">
        <v>0</v>
      </c>
      <c r="CA73" s="220">
        <v>23174.05</v>
      </c>
      <c r="CB73" s="221">
        <v>1</v>
      </c>
      <c r="CC73" s="221" t="s">
        <v>421</v>
      </c>
      <c r="CD73" s="220">
        <v>5793.51</v>
      </c>
      <c r="CE73" s="17">
        <v>0</v>
      </c>
      <c r="CF73" s="170"/>
    </row>
    <row r="74" spans="1:84" x14ac:dyDescent="0.25">
      <c r="A74" s="170" t="s">
        <v>132</v>
      </c>
      <c r="B74" s="170" t="s">
        <v>211</v>
      </c>
      <c r="C74" s="170" t="s">
        <v>206</v>
      </c>
      <c r="D74" s="170" t="s">
        <v>757</v>
      </c>
      <c r="E74" s="170" t="s">
        <v>758</v>
      </c>
      <c r="F74" s="170" t="s">
        <v>878</v>
      </c>
      <c r="H74" s="170"/>
      <c r="I74" s="170"/>
      <c r="J74" s="17">
        <v>1</v>
      </c>
      <c r="K74" s="17">
        <v>135</v>
      </c>
      <c r="L74" s="322">
        <v>2169.4499999999998</v>
      </c>
      <c r="M74" s="17">
        <v>1</v>
      </c>
      <c r="N74" s="17">
        <v>121</v>
      </c>
      <c r="O74" s="322">
        <v>2520.4299999999998</v>
      </c>
      <c r="P74" s="17">
        <v>1</v>
      </c>
      <c r="Q74" s="17">
        <v>5</v>
      </c>
      <c r="R74" s="322">
        <v>885</v>
      </c>
      <c r="S74" s="17">
        <v>1</v>
      </c>
      <c r="T74" s="17">
        <v>5</v>
      </c>
      <c r="U74" s="322">
        <v>885</v>
      </c>
      <c r="W74" s="322"/>
      <c r="Y74" s="322"/>
      <c r="AA74" s="322"/>
      <c r="AC74" s="322"/>
      <c r="AE74" s="322"/>
      <c r="AF74" s="322"/>
      <c r="AG74" s="322"/>
      <c r="AH74" s="322"/>
      <c r="AI74" s="322"/>
      <c r="AO74" s="322">
        <v>4</v>
      </c>
      <c r="AP74" s="322">
        <v>1600</v>
      </c>
      <c r="AQ74" s="322">
        <v>8059.88</v>
      </c>
      <c r="AR74" s="17">
        <v>1</v>
      </c>
      <c r="AS74" s="17">
        <v>0</v>
      </c>
      <c r="AT74" s="210"/>
      <c r="AU74" s="210"/>
      <c r="AV74" s="17" t="s">
        <v>227</v>
      </c>
      <c r="AW74" s="215"/>
      <c r="AX74" s="215">
        <v>8059.8799999999992</v>
      </c>
      <c r="AY74" s="148">
        <v>6447.9</v>
      </c>
      <c r="AZ74" s="216" t="s">
        <v>441</v>
      </c>
      <c r="BA74" s="148">
        <v>1611.98</v>
      </c>
      <c r="BB74" s="217"/>
      <c r="BC74" s="173"/>
      <c r="BD74" s="172"/>
      <c r="BE74" s="173"/>
      <c r="BF74" s="213"/>
      <c r="BG74" s="173"/>
      <c r="BH74" s="219"/>
      <c r="BI74" s="173"/>
      <c r="BJ74" s="222"/>
      <c r="BK74" s="173"/>
      <c r="BL74" s="222"/>
      <c r="BM74" s="173"/>
      <c r="BN74" s="222"/>
      <c r="BO74" s="173"/>
      <c r="BP74" s="222"/>
      <c r="BQ74" s="173"/>
      <c r="BR74" s="222"/>
      <c r="BS74" s="173"/>
      <c r="BT74" s="222"/>
      <c r="BU74" s="173"/>
      <c r="BV74" s="222"/>
      <c r="BW74" s="171">
        <v>6447.9</v>
      </c>
      <c r="BX74" s="220">
        <v>6447.9</v>
      </c>
      <c r="BY74" s="220">
        <v>6447.9</v>
      </c>
      <c r="BZ74" s="220">
        <v>0</v>
      </c>
      <c r="CA74" s="220">
        <v>6447.9</v>
      </c>
      <c r="CB74" s="221">
        <v>1</v>
      </c>
      <c r="CC74" s="221" t="s">
        <v>421</v>
      </c>
      <c r="CD74" s="220">
        <v>1611.98</v>
      </c>
      <c r="CE74" s="17">
        <v>0</v>
      </c>
      <c r="CF74" s="170"/>
    </row>
    <row r="75" spans="1:84" x14ac:dyDescent="0.25">
      <c r="A75" s="170" t="s">
        <v>133</v>
      </c>
      <c r="B75" s="170" t="s">
        <v>136</v>
      </c>
      <c r="C75" s="170" t="s">
        <v>759</v>
      </c>
      <c r="D75" s="170" t="s">
        <v>760</v>
      </c>
      <c r="E75" s="170" t="s">
        <v>761</v>
      </c>
      <c r="F75" s="170" t="s">
        <v>879</v>
      </c>
      <c r="G75" s="170"/>
      <c r="H75" s="170" t="s">
        <v>880</v>
      </c>
      <c r="I75" s="170"/>
      <c r="J75" s="17">
        <v>3</v>
      </c>
      <c r="K75" s="17">
        <v>405</v>
      </c>
      <c r="L75" s="322">
        <v>6508.35</v>
      </c>
      <c r="M75" s="17">
        <v>2</v>
      </c>
      <c r="N75" s="17">
        <v>242</v>
      </c>
      <c r="O75" s="322">
        <v>5040.8599999999997</v>
      </c>
      <c r="P75" s="17">
        <v>4</v>
      </c>
      <c r="Q75" s="17">
        <v>20</v>
      </c>
      <c r="R75" s="322">
        <v>3540</v>
      </c>
      <c r="S75" s="17">
        <v>4</v>
      </c>
      <c r="T75" s="17">
        <v>20</v>
      </c>
      <c r="U75" s="322">
        <v>3540</v>
      </c>
      <c r="V75" s="17">
        <v>1</v>
      </c>
      <c r="W75" s="322">
        <v>6000</v>
      </c>
      <c r="X75" s="17">
        <v>0</v>
      </c>
      <c r="Y75" s="322">
        <v>0</v>
      </c>
      <c r="Z75" s="17">
        <v>0</v>
      </c>
      <c r="AA75" s="322">
        <v>0</v>
      </c>
      <c r="AB75" s="17">
        <v>0</v>
      </c>
      <c r="AC75" s="322">
        <v>0</v>
      </c>
      <c r="AD75" s="17">
        <v>0</v>
      </c>
      <c r="AE75" s="322">
        <v>0</v>
      </c>
      <c r="AF75" s="322">
        <v>1</v>
      </c>
      <c r="AG75" s="322">
        <v>8000</v>
      </c>
      <c r="AH75" s="322">
        <v>35</v>
      </c>
      <c r="AI75" s="322">
        <v>14000</v>
      </c>
      <c r="AO75" s="322">
        <v>13</v>
      </c>
      <c r="AP75" s="322">
        <v>5200</v>
      </c>
      <c r="AQ75" s="322">
        <v>37829.21</v>
      </c>
      <c r="AR75" s="17">
        <v>1</v>
      </c>
      <c r="AS75" s="17">
        <v>0</v>
      </c>
      <c r="AT75" s="210"/>
      <c r="AU75" s="210"/>
      <c r="AV75" s="17" t="s">
        <v>227</v>
      </c>
      <c r="AW75" s="215"/>
      <c r="AX75" s="215">
        <v>37829.21</v>
      </c>
      <c r="AY75" s="148">
        <v>30263.37</v>
      </c>
      <c r="AZ75" s="216" t="s">
        <v>441</v>
      </c>
      <c r="BA75" s="148">
        <v>7565.84</v>
      </c>
      <c r="BB75" s="217"/>
      <c r="BC75" s="173"/>
      <c r="BD75" s="172"/>
      <c r="BE75" s="173"/>
      <c r="BF75" s="213"/>
      <c r="BG75" s="173"/>
      <c r="BH75" s="219"/>
      <c r="BI75" s="173"/>
      <c r="BJ75" s="222"/>
      <c r="BK75" s="173"/>
      <c r="BL75" s="222"/>
      <c r="BM75" s="173"/>
      <c r="BN75" s="222"/>
      <c r="BO75" s="173"/>
      <c r="BP75" s="222"/>
      <c r="BQ75" s="173"/>
      <c r="BR75" s="222"/>
      <c r="BS75" s="173"/>
      <c r="BT75" s="222"/>
      <c r="BU75" s="173"/>
      <c r="BV75" s="222"/>
      <c r="BW75" s="171">
        <v>30263.37</v>
      </c>
      <c r="BX75" s="220">
        <v>30263.37</v>
      </c>
      <c r="BY75" s="220">
        <v>30263.37</v>
      </c>
      <c r="BZ75" s="220">
        <v>0</v>
      </c>
      <c r="CA75" s="220">
        <v>30263.37</v>
      </c>
      <c r="CB75" s="221">
        <v>1</v>
      </c>
      <c r="CC75" s="221" t="s">
        <v>421</v>
      </c>
      <c r="CD75" s="220">
        <v>7565.84</v>
      </c>
      <c r="CE75" s="17">
        <v>0</v>
      </c>
      <c r="CF75" s="170"/>
    </row>
    <row r="76" spans="1:84" x14ac:dyDescent="0.25">
      <c r="A76" s="170" t="s">
        <v>518</v>
      </c>
      <c r="B76" s="170" t="s">
        <v>606</v>
      </c>
      <c r="C76" s="170" t="s">
        <v>519</v>
      </c>
      <c r="D76" s="170" t="s">
        <v>762</v>
      </c>
      <c r="E76" s="170" t="s">
        <v>763</v>
      </c>
      <c r="F76" s="170" t="s">
        <v>879</v>
      </c>
      <c r="H76" s="170" t="s">
        <v>880</v>
      </c>
      <c r="I76" s="170"/>
      <c r="J76" s="17">
        <v>2</v>
      </c>
      <c r="K76" s="17">
        <v>270</v>
      </c>
      <c r="L76" s="322">
        <v>4338.8999999999996</v>
      </c>
      <c r="M76" s="17">
        <v>2</v>
      </c>
      <c r="N76" s="17">
        <v>242</v>
      </c>
      <c r="O76" s="322">
        <v>5040.8599999999997</v>
      </c>
      <c r="P76" s="17">
        <v>3</v>
      </c>
      <c r="Q76" s="17">
        <v>15</v>
      </c>
      <c r="R76" s="322">
        <v>2655</v>
      </c>
      <c r="S76" s="17">
        <v>3</v>
      </c>
      <c r="T76" s="17">
        <v>15</v>
      </c>
      <c r="U76" s="322">
        <v>2655</v>
      </c>
      <c r="V76" s="17">
        <v>0</v>
      </c>
      <c r="W76" s="322">
        <v>0</v>
      </c>
      <c r="X76" s="17">
        <v>0</v>
      </c>
      <c r="Y76" s="322">
        <v>0</v>
      </c>
      <c r="Z76" s="17">
        <v>0</v>
      </c>
      <c r="AA76" s="322">
        <v>0</v>
      </c>
      <c r="AB76" s="17">
        <v>0</v>
      </c>
      <c r="AC76" s="322">
        <v>0</v>
      </c>
      <c r="AD76" s="17">
        <v>0</v>
      </c>
      <c r="AE76" s="322">
        <v>0</v>
      </c>
      <c r="AF76" s="322">
        <v>1</v>
      </c>
      <c r="AG76" s="322">
        <v>8000</v>
      </c>
      <c r="AH76" s="322">
        <v>20</v>
      </c>
      <c r="AI76" s="322">
        <v>8000</v>
      </c>
      <c r="AO76" s="322">
        <v>10</v>
      </c>
      <c r="AP76" s="322">
        <v>4000</v>
      </c>
      <c r="AQ76" s="322">
        <v>26689.759999999998</v>
      </c>
      <c r="AR76" s="17">
        <v>1</v>
      </c>
      <c r="AS76" s="17">
        <v>0</v>
      </c>
      <c r="AT76" s="210"/>
      <c r="AU76" s="210"/>
      <c r="AV76" s="17" t="s">
        <v>227</v>
      </c>
      <c r="AW76" s="215"/>
      <c r="AX76" s="215">
        <v>26689.760000000002</v>
      </c>
      <c r="AY76" s="148">
        <v>21351.81</v>
      </c>
      <c r="AZ76" s="216" t="s">
        <v>441</v>
      </c>
      <c r="BA76" s="148">
        <v>5337.95</v>
      </c>
      <c r="BB76" s="217"/>
      <c r="BC76" s="173"/>
      <c r="BD76" s="172"/>
      <c r="BE76" s="173"/>
      <c r="BF76" s="213"/>
      <c r="BG76" s="173"/>
      <c r="BH76" s="219"/>
      <c r="BI76" s="173"/>
      <c r="BJ76" s="222"/>
      <c r="BK76" s="173"/>
      <c r="BL76" s="222"/>
      <c r="BM76" s="173"/>
      <c r="BN76" s="222"/>
      <c r="BO76" s="173"/>
      <c r="BP76" s="222"/>
      <c r="BQ76" s="173"/>
      <c r="BR76" s="222"/>
      <c r="BS76" s="173"/>
      <c r="BT76" s="222"/>
      <c r="BU76" s="173"/>
      <c r="BV76" s="222"/>
      <c r="BW76" s="171">
        <v>21351.81</v>
      </c>
      <c r="BX76" s="220">
        <v>21351.81</v>
      </c>
      <c r="BY76" s="220">
        <v>21351.81</v>
      </c>
      <c r="BZ76" s="220">
        <v>0</v>
      </c>
      <c r="CA76" s="220">
        <v>21351.81</v>
      </c>
      <c r="CB76" s="221">
        <v>1</v>
      </c>
      <c r="CC76" s="221" t="s">
        <v>421</v>
      </c>
      <c r="CD76" s="220">
        <v>5337.95</v>
      </c>
      <c r="CE76" s="17">
        <v>0</v>
      </c>
      <c r="CF76" s="170"/>
    </row>
    <row r="77" spans="1:84" x14ac:dyDescent="0.25">
      <c r="A77" s="170" t="s">
        <v>235</v>
      </c>
      <c r="B77" s="170" t="s">
        <v>236</v>
      </c>
      <c r="C77" s="170" t="s">
        <v>239</v>
      </c>
      <c r="D77" s="170" t="s">
        <v>764</v>
      </c>
      <c r="E77" s="170" t="s">
        <v>765</v>
      </c>
      <c r="F77" s="170" t="s">
        <v>881</v>
      </c>
      <c r="H77" s="170"/>
      <c r="I77" s="170"/>
      <c r="J77" s="17">
        <v>44</v>
      </c>
      <c r="K77" s="17">
        <v>5940</v>
      </c>
      <c r="L77" s="322">
        <v>95455.8</v>
      </c>
      <c r="M77" s="17">
        <v>28</v>
      </c>
      <c r="N77" s="17">
        <v>3388</v>
      </c>
      <c r="O77" s="322">
        <v>70572.039999999994</v>
      </c>
      <c r="P77" s="17">
        <v>4</v>
      </c>
      <c r="Q77" s="17">
        <v>20</v>
      </c>
      <c r="R77" s="322">
        <v>3540</v>
      </c>
      <c r="S77" s="17">
        <v>11</v>
      </c>
      <c r="T77" s="17">
        <v>55</v>
      </c>
      <c r="U77" s="322">
        <v>9735</v>
      </c>
      <c r="W77" s="322"/>
      <c r="Y77" s="322"/>
      <c r="AA77" s="322"/>
      <c r="AC77" s="322"/>
      <c r="AE77" s="322"/>
      <c r="AF77" s="322"/>
      <c r="AG77" s="322"/>
      <c r="AH77" s="322"/>
      <c r="AI77" s="322"/>
      <c r="AO77" s="322">
        <v>87</v>
      </c>
      <c r="AP77" s="322">
        <v>34800</v>
      </c>
      <c r="AQ77" s="322">
        <v>214102.84</v>
      </c>
      <c r="AR77" s="17">
        <v>1</v>
      </c>
      <c r="AS77" s="17">
        <v>0</v>
      </c>
      <c r="AT77" s="210"/>
      <c r="AU77" s="210"/>
      <c r="AV77" s="17" t="s">
        <v>227</v>
      </c>
      <c r="AW77" s="215"/>
      <c r="AX77" s="215">
        <v>214102.84</v>
      </c>
      <c r="AY77" s="148">
        <v>171282.27</v>
      </c>
      <c r="AZ77" s="216" t="s">
        <v>441</v>
      </c>
      <c r="BA77" s="148">
        <v>42820.57</v>
      </c>
      <c r="BB77" s="217"/>
      <c r="BC77" s="173"/>
      <c r="BD77" s="172"/>
      <c r="BE77" s="173"/>
      <c r="BF77" s="213"/>
      <c r="BG77" s="173"/>
      <c r="BH77" s="219"/>
      <c r="BI77" s="173"/>
      <c r="BJ77" s="222"/>
      <c r="BK77" s="173"/>
      <c r="BL77" s="222"/>
      <c r="BM77" s="173"/>
      <c r="BN77" s="222"/>
      <c r="BO77" s="173"/>
      <c r="BP77" s="222"/>
      <c r="BQ77" s="173"/>
      <c r="BR77" s="222"/>
      <c r="BS77" s="173"/>
      <c r="BT77" s="222"/>
      <c r="BU77" s="173"/>
      <c r="BV77" s="222"/>
      <c r="BW77" s="171">
        <v>171282.27</v>
      </c>
      <c r="BX77" s="220">
        <v>171282.27</v>
      </c>
      <c r="BY77" s="220">
        <v>171282.27</v>
      </c>
      <c r="BZ77" s="220">
        <v>0</v>
      </c>
      <c r="CA77" s="220">
        <v>171282.27</v>
      </c>
      <c r="CB77" s="221">
        <v>1</v>
      </c>
      <c r="CC77" s="221" t="s">
        <v>421</v>
      </c>
      <c r="CD77" s="220">
        <v>42820.57</v>
      </c>
      <c r="CE77" s="17">
        <v>0</v>
      </c>
      <c r="CF77" s="170"/>
    </row>
    <row r="78" spans="1:84" x14ac:dyDescent="0.25">
      <c r="A78" s="170" t="s">
        <v>77</v>
      </c>
      <c r="B78" s="170" t="s">
        <v>129</v>
      </c>
      <c r="C78" s="170" t="s">
        <v>207</v>
      </c>
      <c r="D78" s="170" t="s">
        <v>766</v>
      </c>
      <c r="E78" s="170" t="s">
        <v>767</v>
      </c>
      <c r="F78" s="170" t="s">
        <v>882</v>
      </c>
      <c r="H78" s="170" t="s">
        <v>883</v>
      </c>
      <c r="I78" s="170"/>
      <c r="J78" s="17">
        <v>49</v>
      </c>
      <c r="K78" s="17">
        <v>6615</v>
      </c>
      <c r="L78" s="322">
        <v>106303.05</v>
      </c>
      <c r="M78" s="17">
        <v>74</v>
      </c>
      <c r="N78" s="17">
        <v>8954</v>
      </c>
      <c r="O78" s="322">
        <v>186511.82</v>
      </c>
      <c r="P78" s="17">
        <v>9</v>
      </c>
      <c r="Q78" s="17">
        <v>45</v>
      </c>
      <c r="R78" s="322">
        <v>7965</v>
      </c>
      <c r="S78" s="17">
        <v>6</v>
      </c>
      <c r="T78" s="17">
        <v>30</v>
      </c>
      <c r="U78" s="322">
        <v>5310</v>
      </c>
      <c r="W78" s="322"/>
      <c r="Y78" s="322"/>
      <c r="AA78" s="322"/>
      <c r="AC78" s="322"/>
      <c r="AE78" s="322"/>
      <c r="AF78" s="322"/>
      <c r="AG78" s="322"/>
      <c r="AH78" s="322"/>
      <c r="AI78" s="322"/>
      <c r="AO78" s="322">
        <v>138</v>
      </c>
      <c r="AP78" s="322">
        <v>48740</v>
      </c>
      <c r="AQ78" s="322">
        <v>354829.87</v>
      </c>
      <c r="AR78" s="17">
        <v>1</v>
      </c>
      <c r="AS78" s="17">
        <v>0</v>
      </c>
      <c r="AT78" s="210"/>
      <c r="AU78" s="210"/>
      <c r="AV78" s="17" t="s">
        <v>227</v>
      </c>
      <c r="AW78" s="215"/>
      <c r="AX78" s="215">
        <v>354829.87</v>
      </c>
      <c r="AY78" s="148">
        <v>283863.90000000002</v>
      </c>
      <c r="AZ78" s="216" t="s">
        <v>441</v>
      </c>
      <c r="BA78" s="148">
        <v>70965.97</v>
      </c>
      <c r="BB78" s="217"/>
      <c r="BC78" s="173"/>
      <c r="BD78" s="172"/>
      <c r="BE78" s="173"/>
      <c r="BF78" s="213"/>
      <c r="BG78" s="173"/>
      <c r="BH78" s="219"/>
      <c r="BI78" s="173"/>
      <c r="BJ78" s="222"/>
      <c r="BK78" s="173"/>
      <c r="BL78" s="222"/>
      <c r="BM78" s="173"/>
      <c r="BN78" s="222"/>
      <c r="BO78" s="173"/>
      <c r="BP78" s="222"/>
      <c r="BQ78" s="173"/>
      <c r="BR78" s="222"/>
      <c r="BS78" s="173"/>
      <c r="BT78" s="222"/>
      <c r="BU78" s="173"/>
      <c r="BV78" s="222"/>
      <c r="BW78" s="171">
        <v>283863.90000000002</v>
      </c>
      <c r="BX78" s="220">
        <v>283863.90000000002</v>
      </c>
      <c r="BY78" s="220">
        <v>283863.90000000002</v>
      </c>
      <c r="BZ78" s="220">
        <v>0</v>
      </c>
      <c r="CA78" s="220">
        <v>283863.90000000002</v>
      </c>
      <c r="CB78" s="221">
        <v>1</v>
      </c>
      <c r="CC78" s="221" t="s">
        <v>421</v>
      </c>
      <c r="CD78" s="220">
        <v>70965.97</v>
      </c>
      <c r="CE78" s="17">
        <v>0</v>
      </c>
      <c r="CF78" s="170"/>
    </row>
    <row r="79" spans="1:84" x14ac:dyDescent="0.25">
      <c r="A79" s="170" t="s">
        <v>78</v>
      </c>
      <c r="B79" s="170" t="s">
        <v>13</v>
      </c>
      <c r="C79" s="170" t="s">
        <v>208</v>
      </c>
      <c r="D79" s="170" t="s">
        <v>768</v>
      </c>
      <c r="E79" s="170" t="s">
        <v>769</v>
      </c>
      <c r="F79" s="170" t="s">
        <v>884</v>
      </c>
      <c r="H79" s="170"/>
      <c r="I79" s="170"/>
      <c r="J79" s="17">
        <v>26</v>
      </c>
      <c r="K79" s="17">
        <v>3510</v>
      </c>
      <c r="L79" s="322">
        <v>56405.7</v>
      </c>
      <c r="M79" s="17">
        <v>0</v>
      </c>
      <c r="N79" s="17">
        <v>0</v>
      </c>
      <c r="O79" s="322">
        <v>0</v>
      </c>
      <c r="P79" s="17">
        <v>10</v>
      </c>
      <c r="Q79" s="17">
        <v>50</v>
      </c>
      <c r="R79" s="322">
        <v>8850</v>
      </c>
      <c r="S79" s="17">
        <v>13</v>
      </c>
      <c r="T79" s="17">
        <v>65</v>
      </c>
      <c r="U79" s="322">
        <v>11505</v>
      </c>
      <c r="W79" s="322"/>
      <c r="Y79" s="322"/>
      <c r="AA79" s="322"/>
      <c r="AC79" s="322"/>
      <c r="AE79" s="322"/>
      <c r="AF79" s="322"/>
      <c r="AG79" s="322"/>
      <c r="AH79" s="322"/>
      <c r="AI79" s="322"/>
      <c r="AO79" s="322">
        <v>49</v>
      </c>
      <c r="AP79" s="322">
        <v>19600</v>
      </c>
      <c r="AQ79" s="322">
        <v>96360.7</v>
      </c>
      <c r="AR79" s="17">
        <v>1</v>
      </c>
      <c r="AS79" s="17">
        <v>1</v>
      </c>
      <c r="AT79" s="210"/>
      <c r="AU79" s="210"/>
      <c r="AV79" s="17" t="s">
        <v>227</v>
      </c>
      <c r="AW79" s="215"/>
      <c r="AX79" s="215">
        <v>96360.7</v>
      </c>
      <c r="AY79" s="148">
        <v>77088.56</v>
      </c>
      <c r="AZ79" s="216" t="s">
        <v>441</v>
      </c>
      <c r="BA79" s="148">
        <v>19272.14</v>
      </c>
      <c r="BB79" s="217"/>
      <c r="BC79" s="173"/>
      <c r="BD79" s="172"/>
      <c r="BE79" s="173"/>
      <c r="BF79" s="213"/>
      <c r="BG79" s="173"/>
      <c r="BH79" s="219"/>
      <c r="BI79" s="173"/>
      <c r="BJ79" s="222"/>
      <c r="BK79" s="173"/>
      <c r="BL79" s="222"/>
      <c r="BM79" s="173"/>
      <c r="BN79" s="222"/>
      <c r="BO79" s="173"/>
      <c r="BP79" s="222"/>
      <c r="BQ79" s="173"/>
      <c r="BR79" s="222"/>
      <c r="BS79" s="173"/>
      <c r="BT79" s="222"/>
      <c r="BU79" s="173"/>
      <c r="BV79" s="222"/>
      <c r="BW79" s="171">
        <v>77088.56</v>
      </c>
      <c r="BX79" s="220">
        <v>77088.56</v>
      </c>
      <c r="BY79" s="220">
        <v>77088.56</v>
      </c>
      <c r="BZ79" s="220">
        <v>0</v>
      </c>
      <c r="CA79" s="220">
        <v>77088.56</v>
      </c>
      <c r="CB79" s="221">
        <v>1</v>
      </c>
      <c r="CC79" s="221" t="s">
        <v>421</v>
      </c>
      <c r="CD79" s="220">
        <v>19272.14</v>
      </c>
      <c r="CE79" s="17">
        <v>0</v>
      </c>
      <c r="CF79" s="170"/>
    </row>
    <row r="80" spans="1:84" x14ac:dyDescent="0.25">
      <c r="A80" t="s">
        <v>79</v>
      </c>
      <c r="B80"/>
      <c r="C80" s="27"/>
      <c r="D80"/>
      <c r="E80" s="27"/>
      <c r="F80" s="27"/>
      <c r="G80" s="27"/>
      <c r="H80" s="27"/>
      <c r="I80" s="27"/>
      <c r="J80">
        <f>SUBTOTAL(109,Daten[SMS_Mob])</f>
        <v>5654</v>
      </c>
      <c r="K80"/>
      <c r="L80"/>
      <c r="M80">
        <f>SUBTOTAL(109,Daten[SMT_Mob])</f>
        <v>2676</v>
      </c>
      <c r="N80"/>
      <c r="O80"/>
      <c r="P80">
        <f>SUBTOTAL(109,Daten[STA_Mob])</f>
        <v>858</v>
      </c>
      <c r="Q80"/>
      <c r="R80"/>
      <c r="S80">
        <f>SUBTOTAL(109,Daten[STT_Mob])</f>
        <v>896</v>
      </c>
      <c r="T80"/>
      <c r="U80"/>
      <c r="V80" s="27"/>
      <c r="W80" s="27"/>
      <c r="X80" s="27"/>
      <c r="Y80" s="27"/>
      <c r="Z80" s="27"/>
      <c r="AA80" s="27"/>
      <c r="AB80" s="27"/>
      <c r="AC80" s="27"/>
      <c r="AD80" s="27"/>
      <c r="AE80" s="27"/>
      <c r="AF80" s="27"/>
      <c r="AG80" s="27"/>
      <c r="AH80" s="27"/>
      <c r="AI80" s="316">
        <f>SUBTOTAL(109,Daten[BIP_EUR])</f>
        <v>690000</v>
      </c>
      <c r="AJ80" s="27"/>
      <c r="AK80" s="27"/>
      <c r="AL80" s="27"/>
      <c r="AM80" s="27"/>
      <c r="AN80" s="27"/>
      <c r="AO80"/>
      <c r="AP80" s="136">
        <f>SUBTOTAL(109,Daten[OS_EUR])</f>
        <v>3090100</v>
      </c>
      <c r="AQ80" s="136">
        <f>SUBTOTAL(109,Daten[TOTAL_GRANT])</f>
        <v>24390382.199999996</v>
      </c>
      <c r="AR80" s="136"/>
      <c r="AS80" s="136"/>
      <c r="AT80"/>
      <c r="AU80"/>
      <c r="AV80"/>
      <c r="AW80"/>
      <c r="AX80"/>
      <c r="AY80"/>
      <c r="AZ80"/>
      <c r="BA80"/>
      <c r="BB80"/>
      <c r="BC80"/>
      <c r="BD80"/>
      <c r="BE80"/>
      <c r="BF80"/>
      <c r="BG80"/>
      <c r="BH80"/>
      <c r="BI80"/>
      <c r="BJ80"/>
      <c r="BK80"/>
      <c r="BL80"/>
      <c r="BM80"/>
      <c r="BN80"/>
      <c r="BO80"/>
      <c r="BP80"/>
      <c r="BQ80">
        <f>SUBTOTAL(103,Daten[PP10])</f>
        <v>0</v>
      </c>
      <c r="BR80"/>
      <c r="BS80"/>
      <c r="BT80"/>
      <c r="BU80"/>
      <c r="BV80"/>
      <c r="BW80"/>
      <c r="BX80"/>
      <c r="BY80"/>
      <c r="BZ80"/>
      <c r="CA80"/>
      <c r="CB80"/>
      <c r="CC80"/>
      <c r="CD80" s="136"/>
      <c r="CE80"/>
      <c r="CF80"/>
    </row>
    <row r="81" spans="1:82" x14ac:dyDescent="0.25">
      <c r="A81" s="17">
        <v>1</v>
      </c>
      <c r="B81" s="17">
        <v>2</v>
      </c>
      <c r="C81" s="17">
        <v>3</v>
      </c>
      <c r="D81" s="17">
        <v>4</v>
      </c>
      <c r="E81" s="17">
        <v>5</v>
      </c>
      <c r="F81" s="17">
        <v>6</v>
      </c>
      <c r="G81" s="17">
        <v>7</v>
      </c>
      <c r="H81" s="17">
        <v>8</v>
      </c>
      <c r="I81" s="17">
        <v>9</v>
      </c>
      <c r="J81" s="17">
        <v>10</v>
      </c>
      <c r="K81" s="17">
        <v>11</v>
      </c>
      <c r="L81" s="17">
        <v>12</v>
      </c>
      <c r="M81" s="17">
        <v>13</v>
      </c>
      <c r="N81" s="17">
        <v>14</v>
      </c>
      <c r="O81" s="17">
        <v>15</v>
      </c>
      <c r="P81" s="17">
        <v>16</v>
      </c>
      <c r="Q81" s="17">
        <v>17</v>
      </c>
      <c r="R81" s="17">
        <v>18</v>
      </c>
      <c r="S81" s="17">
        <v>19</v>
      </c>
      <c r="T81" s="17">
        <v>20</v>
      </c>
      <c r="U81" s="17">
        <v>21</v>
      </c>
      <c r="V81" s="17">
        <v>22</v>
      </c>
      <c r="W81" s="17">
        <v>23</v>
      </c>
      <c r="X81" s="17">
        <v>24</v>
      </c>
      <c r="Y81" s="17">
        <v>25</v>
      </c>
      <c r="Z81" s="17">
        <v>26</v>
      </c>
      <c r="AA81" s="17">
        <v>27</v>
      </c>
      <c r="AB81" s="17">
        <v>28</v>
      </c>
      <c r="AC81" s="17">
        <v>29</v>
      </c>
      <c r="AD81" s="17">
        <v>30</v>
      </c>
      <c r="AE81" s="17">
        <v>31</v>
      </c>
      <c r="AF81" s="17">
        <v>32</v>
      </c>
      <c r="AG81" s="17">
        <v>33</v>
      </c>
      <c r="AH81" s="17">
        <v>34</v>
      </c>
      <c r="AI81" s="17">
        <v>35</v>
      </c>
      <c r="AJ81" s="17">
        <v>36</v>
      </c>
      <c r="AK81" s="17">
        <v>37</v>
      </c>
      <c r="AL81" s="17">
        <v>38</v>
      </c>
      <c r="AM81" s="17">
        <v>39</v>
      </c>
      <c r="AN81" s="17">
        <v>40</v>
      </c>
      <c r="AO81" s="17">
        <v>41</v>
      </c>
      <c r="AP81" s="17">
        <v>42</v>
      </c>
      <c r="AQ81" s="17">
        <v>43</v>
      </c>
      <c r="AR81" s="17">
        <v>44</v>
      </c>
      <c r="AS81" s="17">
        <v>45</v>
      </c>
      <c r="AT81" s="17">
        <v>46</v>
      </c>
      <c r="AU81" s="17">
        <v>47</v>
      </c>
      <c r="AV81" s="17">
        <v>48</v>
      </c>
      <c r="AW81" s="17">
        <v>49</v>
      </c>
      <c r="AX81" s="17">
        <v>50</v>
      </c>
      <c r="AY81" s="17">
        <v>51</v>
      </c>
      <c r="AZ81" s="17">
        <v>52</v>
      </c>
      <c r="BA81" s="17">
        <v>53</v>
      </c>
      <c r="BB81" s="17">
        <v>54</v>
      </c>
      <c r="BC81" s="17">
        <v>55</v>
      </c>
      <c r="BD81" s="17">
        <v>56</v>
      </c>
      <c r="BE81" s="17">
        <v>57</v>
      </c>
      <c r="BF81" s="17">
        <v>58</v>
      </c>
      <c r="BG81" s="17">
        <v>59</v>
      </c>
      <c r="BH81" s="17">
        <v>60</v>
      </c>
      <c r="BI81" s="17">
        <v>61</v>
      </c>
      <c r="BJ81" s="17">
        <v>62</v>
      </c>
      <c r="BK81" s="17">
        <v>63</v>
      </c>
      <c r="BL81" s="17">
        <v>64</v>
      </c>
      <c r="BM81" s="17">
        <v>65</v>
      </c>
      <c r="BN81" s="17">
        <v>66</v>
      </c>
      <c r="BO81" s="17">
        <v>67</v>
      </c>
      <c r="BP81" s="17">
        <v>68</v>
      </c>
      <c r="BQ81" s="17">
        <v>69</v>
      </c>
      <c r="BR81" s="17">
        <v>70</v>
      </c>
      <c r="BS81" s="17">
        <v>71</v>
      </c>
      <c r="BT81" s="17">
        <v>72</v>
      </c>
      <c r="BU81" s="17">
        <v>73</v>
      </c>
      <c r="BV81" s="17">
        <v>74</v>
      </c>
      <c r="BW81" s="17">
        <v>75</v>
      </c>
      <c r="BX81" s="17">
        <v>76</v>
      </c>
      <c r="BY81" s="17">
        <v>77</v>
      </c>
      <c r="BZ81" s="17">
        <v>78</v>
      </c>
      <c r="CA81" s="17">
        <v>79</v>
      </c>
      <c r="CB81" s="17">
        <v>80</v>
      </c>
      <c r="CC81" s="17">
        <v>81</v>
      </c>
      <c r="CD81" s="215">
        <v>82</v>
      </c>
    </row>
    <row r="82" spans="1:82" x14ac:dyDescent="0.25">
      <c r="AO82" s="17"/>
      <c r="AP82" s="17"/>
      <c r="AQ82" s="17"/>
      <c r="AR82" s="17"/>
      <c r="AS82" s="17"/>
      <c r="AT82" s="17"/>
      <c r="AU82" s="17"/>
      <c r="AV82" s="17"/>
      <c r="AW82" s="17"/>
      <c r="AX82" s="17"/>
      <c r="AY82" s="17"/>
      <c r="AZ82" s="17"/>
      <c r="BA82" s="17"/>
      <c r="BB82" s="17"/>
      <c r="BC82" s="17"/>
      <c r="BD82" s="17"/>
      <c r="BE82" s="17"/>
      <c r="BF82" s="17"/>
      <c r="BG82" s="17"/>
      <c r="BH82" s="17"/>
      <c r="BI82" s="17"/>
      <c r="BJ82" s="17"/>
      <c r="BK82" s="17"/>
    </row>
  </sheetData>
  <phoneticPr fontId="15" type="noConversion"/>
  <conditionalFormatting sqref="AY3:AZ79">
    <cfRule type="expression" dxfId="11" priority="12">
      <formula>$GI3="x"</formula>
    </cfRule>
  </conditionalFormatting>
  <conditionalFormatting sqref="BA3:BB79">
    <cfRule type="expression" dxfId="10" priority="11">
      <formula>$GK3="x"</formula>
    </cfRule>
  </conditionalFormatting>
  <conditionalFormatting sqref="BC3:BD79">
    <cfRule type="expression" dxfId="9" priority="10">
      <formula>$GM3="x"</formula>
    </cfRule>
  </conditionalFormatting>
  <conditionalFormatting sqref="BE3:BF79">
    <cfRule type="expression" dxfId="8" priority="9">
      <formula>$GO3="x"</formula>
    </cfRule>
  </conditionalFormatting>
  <conditionalFormatting sqref="BG3:BH79">
    <cfRule type="expression" dxfId="7" priority="8">
      <formula>$GQ3="x"</formula>
    </cfRule>
  </conditionalFormatting>
  <conditionalFormatting sqref="BI3:BJ79">
    <cfRule type="expression" dxfId="6" priority="7">
      <formula>$GS3="x"</formula>
    </cfRule>
  </conditionalFormatting>
  <conditionalFormatting sqref="BK3:BL79">
    <cfRule type="expression" dxfId="5" priority="6">
      <formula>$GU3="x"</formula>
    </cfRule>
  </conditionalFormatting>
  <conditionalFormatting sqref="BM3:BN79">
    <cfRule type="expression" dxfId="4" priority="5">
      <formula>$GW3="x"</formula>
    </cfRule>
  </conditionalFormatting>
  <conditionalFormatting sqref="BO3:BP79">
    <cfRule type="expression" dxfId="3" priority="4">
      <formula>$GY3="x"</formula>
    </cfRule>
  </conditionalFormatting>
  <conditionalFormatting sqref="BQ3:BR79">
    <cfRule type="expression" dxfId="2" priority="3">
      <formula>$HA3="x"</formula>
    </cfRule>
  </conditionalFormatting>
  <conditionalFormatting sqref="BS3:BT79">
    <cfRule type="expression" dxfId="1" priority="2">
      <formula>$HC3="x"</formula>
    </cfRule>
  </conditionalFormatting>
  <conditionalFormatting sqref="BT3:BU79">
    <cfRule type="expression" dxfId="0" priority="1">
      <formula>$HE3="x"</formula>
    </cfRule>
  </conditionalFormatting>
  <pageMargins left="0.7" right="0.7" top="0.78740157499999996" bottom="0.78740157499999996"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9D923-FE4A-4B9C-8898-5CD531B62945}">
  <dimension ref="B1:U8"/>
  <sheetViews>
    <sheetView topLeftCell="B1" workbookViewId="0">
      <selection activeCell="U2" sqref="U2"/>
    </sheetView>
  </sheetViews>
  <sheetFormatPr baseColWidth="10" defaultRowHeight="12.75" x14ac:dyDescent="0.2"/>
  <cols>
    <col min="14" max="14" width="11.7109375" customWidth="1"/>
    <col min="17" max="17" width="12" bestFit="1" customWidth="1"/>
    <col min="21" max="21" width="39.28515625" bestFit="1" customWidth="1"/>
  </cols>
  <sheetData>
    <row r="1" spans="2:21" x14ac:dyDescent="0.2">
      <c r="Q1" s="798" t="s">
        <v>540</v>
      </c>
      <c r="R1" s="798"/>
    </row>
    <row r="2" spans="2:21" x14ac:dyDescent="0.2">
      <c r="B2" s="21" t="s">
        <v>251</v>
      </c>
      <c r="D2" s="21" t="s">
        <v>253</v>
      </c>
      <c r="F2" s="21" t="s">
        <v>2</v>
      </c>
      <c r="H2" s="21" t="s">
        <v>3</v>
      </c>
      <c r="J2" s="21" t="s">
        <v>256</v>
      </c>
      <c r="L2" s="21" t="s">
        <v>384</v>
      </c>
      <c r="N2" s="21" t="s">
        <v>536</v>
      </c>
      <c r="O2" s="21" t="s">
        <v>138</v>
      </c>
      <c r="Q2" s="21" t="s">
        <v>533</v>
      </c>
      <c r="R2" s="21" t="s">
        <v>534</v>
      </c>
      <c r="T2" s="21" t="s">
        <v>548</v>
      </c>
      <c r="U2" s="21" t="s">
        <v>549</v>
      </c>
    </row>
    <row r="3" spans="2:21" x14ac:dyDescent="0.2">
      <c r="B3" t="str">
        <f>IF(OR('Ausdruck 1'!G41="Antrag auf Zusatzmittel",'Ausdruck 1'!G41="Verzicht"),"bestätigen","")</f>
        <v/>
      </c>
      <c r="D3" t="str">
        <f>(IF(OR('Ausdruck 1'!G42="Antrag auf Zusatzmittel",'Ausdruck 1'!G42="Verzicht"),"bestätigen",""))</f>
        <v/>
      </c>
      <c r="F3" t="str">
        <f>(IF(OR('Ausdruck 1'!G43="Antrag auf Zusatzmittel",'Ausdruck 1'!G43="Verzicht"),"bestätigen",""))</f>
        <v/>
      </c>
      <c r="H3" t="str">
        <f>(IF(OR('Ausdruck 1'!G44="Antrag auf Zusatzmittel",'Ausdruck 1'!G44="Verzicht"),"bestätigen",""))</f>
        <v/>
      </c>
      <c r="J3" t="str">
        <f>IF(OR('Ausdruck 1'!G48="Antrag auf Zusatzmittel",'Ausdruck 1'!G48="Verzicht"),"bestätigen","")</f>
        <v/>
      </c>
      <c r="L3" t="str">
        <f>IF(OR('Ausdruck 1'!G52="Antrag auf Zusatzmittel",'Ausdruck 1'!G52="Verzicht"),"bestätigen","")</f>
        <v/>
      </c>
      <c r="N3" s="21" t="s">
        <v>535</v>
      </c>
      <c r="O3" s="195">
        <v>45184</v>
      </c>
      <c r="Q3" s="21" t="s">
        <v>537</v>
      </c>
      <c r="R3">
        <v>400</v>
      </c>
      <c r="T3">
        <v>1</v>
      </c>
      <c r="U3" s="317" t="s">
        <v>978</v>
      </c>
    </row>
    <row r="4" spans="2:21" x14ac:dyDescent="0.2">
      <c r="B4" t="str">
        <f>(IF(OR('Ausdruck 1'!G41="Antrag auf Zusatzmittel",'Ausdruck 1'!G41="Verzicht"),"ablehnen",""))</f>
        <v/>
      </c>
      <c r="D4" t="str">
        <f>(IF(OR('Ausdruck 1'!G42="Antrag auf Zusatzmittel",'Ausdruck 1'!G42="Verzicht"),"ablehnen",""))</f>
        <v/>
      </c>
      <c r="F4" t="str">
        <f>IF(OR('Ausdruck 1'!G43="Antrag auf Zusatzmittel",'Ausdruck 1'!G43="Verzicht"),"ablehnen","")</f>
        <v/>
      </c>
      <c r="H4" t="str">
        <f>(IF(OR('Ausdruck 1'!G44="Antrag auf Zusatzmittel",'Ausdruck 1'!G44="Verzicht"),"ablehnen",""))</f>
        <v/>
      </c>
      <c r="J4" t="str">
        <f>(IF(OR('Ausdruck 1'!G48="Antrag auf Zusatzmittel",'Ausdruck 1'!G48="Verzicht"),"ablehnen",""))</f>
        <v/>
      </c>
      <c r="L4" t="str">
        <f>(IF(OR('Ausdruck 1'!G52="Antrag auf Zusatzmittel",'Ausdruck 1'!G52="Verzicht"),"ablehnen",""))</f>
        <v/>
      </c>
      <c r="Q4" s="21" t="s">
        <v>538</v>
      </c>
      <c r="R4">
        <v>230</v>
      </c>
      <c r="T4">
        <v>2</v>
      </c>
      <c r="U4" s="317" t="s">
        <v>966</v>
      </c>
    </row>
    <row r="5" spans="2:21" x14ac:dyDescent="0.2">
      <c r="B5" t="str">
        <f>(IF('Ausdruck 1'!G41="","",""))</f>
        <v/>
      </c>
      <c r="D5" t="str">
        <f>(IF('Ausdruck 1'!G42="","",""))</f>
        <v/>
      </c>
      <c r="F5" t="str">
        <f>(IF('Ausdruck 1'!G43="","",""))</f>
        <v/>
      </c>
      <c r="H5" t="str">
        <f>(IF('Ausdruck 1'!G44="","",""))</f>
        <v/>
      </c>
      <c r="J5" t="str">
        <f>(IF('Ausdruck 1'!G48="","",""))</f>
        <v/>
      </c>
      <c r="L5" t="str">
        <f>(IF('Ausdruck 1'!G52="","",""))</f>
        <v/>
      </c>
      <c r="Q5" s="21" t="s">
        <v>279</v>
      </c>
      <c r="R5">
        <v>400</v>
      </c>
      <c r="T5">
        <v>3</v>
      </c>
      <c r="U5" s="317" t="s">
        <v>554</v>
      </c>
    </row>
    <row r="6" spans="2:21" x14ac:dyDescent="0.2">
      <c r="Q6" s="21" t="s">
        <v>539</v>
      </c>
      <c r="R6">
        <v>100</v>
      </c>
      <c r="T6">
        <v>4</v>
      </c>
      <c r="U6" s="317" t="s">
        <v>607</v>
      </c>
    </row>
    <row r="7" spans="2:21" x14ac:dyDescent="0.2">
      <c r="T7">
        <v>5</v>
      </c>
      <c r="U7" s="317" t="s">
        <v>892</v>
      </c>
    </row>
    <row r="8" spans="2:21" x14ac:dyDescent="0.2">
      <c r="T8">
        <v>6</v>
      </c>
      <c r="U8" s="317" t="s">
        <v>893</v>
      </c>
    </row>
  </sheetData>
  <mergeCells count="1">
    <mergeCell ref="Q1:R1"/>
  </mergeCells>
  <pageMargins left="0.7" right="0.7" top="0.78740157499999996" bottom="0.78740157499999996" header="0.3" footer="0.3"/>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18</vt:i4>
      </vt:variant>
    </vt:vector>
  </HeadingPairs>
  <TitlesOfParts>
    <vt:vector size="28" baseType="lpstr">
      <vt:lpstr>Erklärung</vt:lpstr>
      <vt:lpstr>Dateneingabe Mobilitäten</vt:lpstr>
      <vt:lpstr>Dateneingabe zusätzliche BIPs</vt:lpstr>
      <vt:lpstr>Ausdruck 1</vt:lpstr>
      <vt:lpstr>Ausdruck 2</vt:lpstr>
      <vt:lpstr>Ausdruck 3</vt:lpstr>
      <vt:lpstr>OS</vt:lpstr>
      <vt:lpstr>Daten</vt:lpstr>
      <vt:lpstr>Steuerung</vt:lpstr>
      <vt:lpstr>Zusammenfassung</vt:lpstr>
      <vt:lpstr>'Ausdruck 1'!Druckbereich</vt:lpstr>
      <vt:lpstr>'Ausdruck 2'!Druckbereich</vt:lpstr>
      <vt:lpstr>'Ausdruck 3'!Druckbereich</vt:lpstr>
      <vt:lpstr>'Dateneingabe Mobilitäten'!Druckbereich</vt:lpstr>
      <vt:lpstr>'Ausdruck 2'!E_Code</vt:lpstr>
      <vt:lpstr>E_Code</vt:lpstr>
      <vt:lpstr>'Ausdruck 2'!n_BIP</vt:lpstr>
      <vt:lpstr>n_BIP</vt:lpstr>
      <vt:lpstr>'Ausdruck 2'!n_OS</vt:lpstr>
      <vt:lpstr>n_OS</vt:lpstr>
      <vt:lpstr>'Ausdruck 2'!n_SMS</vt:lpstr>
      <vt:lpstr>n_SMS</vt:lpstr>
      <vt:lpstr>'Ausdruck 2'!n_SMT</vt:lpstr>
      <vt:lpstr>n_SMT</vt:lpstr>
      <vt:lpstr>'Ausdruck 2'!n_STA</vt:lpstr>
      <vt:lpstr>n_STA</vt:lpstr>
      <vt:lpstr>'Ausdruck 2'!n_STT</vt:lpstr>
      <vt:lpstr>n_STT</vt:lpstr>
    </vt:vector>
  </TitlesOfParts>
  <Company>OEAD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Erasmus+ Zwischenbericht HB</dc:title>
  <dc:creator>Elmar.Harringer@oead.at</dc:creator>
  <cp:lastModifiedBy>Harringer, Elmar</cp:lastModifiedBy>
  <cp:lastPrinted>2023-09-14T22:27:45Z</cp:lastPrinted>
  <dcterms:created xsi:type="dcterms:W3CDTF">2009-09-25T11:55:55Z</dcterms:created>
  <dcterms:modified xsi:type="dcterms:W3CDTF">2023-10-06T12:08:28Z</dcterms:modified>
</cp:coreProperties>
</file>